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ut\Downloads\"/>
    </mc:Choice>
  </mc:AlternateContent>
  <xr:revisionPtr revIDLastSave="0" documentId="8_{BE617705-5BBB-4BFB-B7E6-21F12FD9BED9}" xr6:coauthVersionLast="47" xr6:coauthVersionMax="47" xr10:uidLastSave="{00000000-0000-0000-0000-000000000000}"/>
  <bookViews>
    <workbookView xWindow="-98" yWindow="-98" windowWidth="21795" windowHeight="13875" tabRatio="592" firstSheet="4" activeTab="4" xr2:uid="{00000000-000D-0000-FFFF-FFFF00000000}"/>
  </bookViews>
  <sheets>
    <sheet name="編成" sheetId="17" r:id="rId1"/>
    <sheet name="記入" sheetId="19" r:id="rId2"/>
    <sheet name="結果" sheetId="2" r:id="rId3"/>
    <sheet name="ソート" sheetId="12" r:id="rId4"/>
    <sheet name="簡略版" sheetId="8" r:id="rId5"/>
    <sheet name="星取表" sheetId="10" r:id="rId6"/>
    <sheet name="累積警告" sheetId="15" r:id="rId7"/>
    <sheet name="互換性レポート (1)" sheetId="24" r:id="rId8"/>
  </sheets>
  <definedNames>
    <definedName name="_xlnm.Print_Area" localSheetId="3">ソート!$A$3:$BJ$84</definedName>
    <definedName name="_xlnm.Print_Area" localSheetId="4">簡略版!$A$2:$AD$19</definedName>
    <definedName name="_xlnm.Print_Area" localSheetId="1">記入!$B$5:$Q$34</definedName>
    <definedName name="_xlnm.Print_Area" localSheetId="2">結果!$B$4:$BK$85</definedName>
    <definedName name="_xlnm.Print_Area" localSheetId="5">星取表!$A$1:$L$63</definedName>
    <definedName name="_xlnm.Print_Area" localSheetId="6">累積警告!$A$1:$H$39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5" l="1"/>
  <c r="F7" i="15"/>
  <c r="F6" i="15"/>
  <c r="F5" i="15"/>
  <c r="E12" i="10"/>
  <c r="F39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4" i="15"/>
  <c r="F13" i="15"/>
  <c r="F12" i="15"/>
  <c r="F11" i="15"/>
  <c r="F10" i="15"/>
  <c r="F9" i="15"/>
  <c r="F8" i="15"/>
  <c r="N1" i="17"/>
  <c r="AT16" i="17"/>
  <c r="AT11" i="17"/>
  <c r="AT10" i="17"/>
  <c r="AT5" i="17"/>
  <c r="AT4" i="17"/>
  <c r="AT3" i="17"/>
  <c r="AU16" i="17"/>
  <c r="AU11" i="17"/>
  <c r="AU10" i="17"/>
  <c r="AU5" i="17"/>
  <c r="AU4" i="17"/>
  <c r="AU3" i="17"/>
  <c r="AR3" i="17"/>
  <c r="C38" i="17"/>
  <c r="C37" i="17"/>
  <c r="C36" i="17"/>
  <c r="C54" i="17"/>
  <c r="C53" i="17"/>
  <c r="C52" i="17"/>
  <c r="C51" i="17"/>
  <c r="C50" i="17"/>
  <c r="C49" i="17"/>
  <c r="C48" i="17"/>
  <c r="C47" i="17"/>
  <c r="C46" i="17"/>
  <c r="C45" i="17"/>
  <c r="C44" i="17"/>
  <c r="C43" i="17"/>
  <c r="C42" i="17"/>
  <c r="C41" i="17"/>
  <c r="C40" i="17"/>
  <c r="C39" i="17"/>
  <c r="C35" i="17"/>
  <c r="C34" i="17"/>
  <c r="C33" i="17"/>
  <c r="C32" i="17"/>
  <c r="C31" i="17"/>
  <c r="C30" i="17"/>
  <c r="S39" i="17" s="1"/>
  <c r="C29" i="17"/>
  <c r="C28" i="17"/>
  <c r="C27" i="17"/>
  <c r="S37" i="17"/>
  <c r="C26" i="17"/>
  <c r="C25" i="17"/>
  <c r="S35" i="17"/>
  <c r="C24" i="17"/>
  <c r="C23" i="17"/>
  <c r="C22" i="17"/>
  <c r="C21" i="17"/>
  <c r="C20" i="17"/>
  <c r="S29" i="17" s="1"/>
  <c r="C19" i="17"/>
  <c r="C18" i="17"/>
  <c r="C16" i="17"/>
  <c r="C17" i="17"/>
  <c r="AE5" i="2"/>
  <c r="B36" i="2"/>
  <c r="B26" i="2"/>
  <c r="B16" i="2"/>
  <c r="B6" i="2"/>
  <c r="B46" i="2"/>
  <c r="X5" i="2"/>
  <c r="Q5" i="2"/>
  <c r="J5" i="2"/>
  <c r="C5" i="2"/>
  <c r="AS31" i="17"/>
  <c r="AS28" i="17"/>
  <c r="AS26" i="17"/>
  <c r="AS25" i="17"/>
  <c r="AS23" i="17"/>
  <c r="AS22" i="17"/>
  <c r="AS21" i="17"/>
  <c r="AS19" i="17"/>
  <c r="AS18" i="17"/>
  <c r="AS17" i="17"/>
  <c r="AS16" i="17"/>
  <c r="AS14" i="17"/>
  <c r="AS13" i="17"/>
  <c r="AS12" i="17"/>
  <c r="AS11" i="17"/>
  <c r="AS10" i="17"/>
  <c r="AS8" i="17"/>
  <c r="AS7" i="17"/>
  <c r="AS6" i="17"/>
  <c r="AS5" i="17"/>
  <c r="AS4" i="17"/>
  <c r="AS3" i="17"/>
  <c r="AR28" i="17"/>
  <c r="AR26" i="17"/>
  <c r="AR25" i="17"/>
  <c r="AR23" i="17"/>
  <c r="AR22" i="17"/>
  <c r="AR21" i="17"/>
  <c r="AR19" i="17"/>
  <c r="AR18" i="17"/>
  <c r="AR17" i="17"/>
  <c r="AR16" i="17"/>
  <c r="AR14" i="17"/>
  <c r="AR13" i="17"/>
  <c r="AR12" i="17"/>
  <c r="AR11" i="17"/>
  <c r="AR10" i="17"/>
  <c r="AR8" i="17"/>
  <c r="AR7" i="17"/>
  <c r="AR6" i="17"/>
  <c r="AR5" i="17"/>
  <c r="AR4" i="17"/>
  <c r="J56" i="15"/>
  <c r="J55" i="15"/>
  <c r="J54" i="15"/>
  <c r="J53" i="15"/>
  <c r="J52" i="15"/>
  <c r="J51" i="15"/>
  <c r="J50" i="15"/>
  <c r="J49" i="15"/>
  <c r="J48" i="15"/>
  <c r="J47" i="15"/>
  <c r="J46" i="15"/>
  <c r="J45" i="15"/>
  <c r="J44" i="15"/>
  <c r="J43" i="15"/>
  <c r="J42" i="15"/>
  <c r="J41" i="15"/>
  <c r="J40" i="15"/>
  <c r="J39" i="15"/>
  <c r="J38" i="15"/>
  <c r="J37" i="15"/>
  <c r="J36" i="15"/>
  <c r="J35" i="15"/>
  <c r="J34" i="15"/>
  <c r="J33" i="15"/>
  <c r="J32" i="15"/>
  <c r="J31" i="15"/>
  <c r="J30" i="15"/>
  <c r="J29" i="15"/>
  <c r="J28" i="15"/>
  <c r="J27" i="15"/>
  <c r="J26" i="15"/>
  <c r="J25" i="15"/>
  <c r="J24" i="15"/>
  <c r="J23" i="15"/>
  <c r="J22" i="15"/>
  <c r="J21" i="15"/>
  <c r="J20" i="15"/>
  <c r="J19" i="15"/>
  <c r="J18" i="15"/>
  <c r="J17" i="15"/>
  <c r="J16" i="15"/>
  <c r="J15" i="15"/>
  <c r="J14" i="15"/>
  <c r="J13" i="15"/>
  <c r="J12" i="15"/>
  <c r="J11" i="15"/>
  <c r="J10" i="15"/>
  <c r="J9" i="15"/>
  <c r="J8" i="15"/>
  <c r="J7" i="15"/>
  <c r="J6" i="15"/>
  <c r="J5" i="15"/>
  <c r="P26" i="17"/>
  <c r="P25" i="17"/>
  <c r="P24" i="17"/>
  <c r="P23" i="17"/>
  <c r="P22" i="17"/>
  <c r="P21" i="17"/>
  <c r="P20" i="17"/>
  <c r="P34" i="17"/>
  <c r="Q80" i="17"/>
  <c r="R80" i="17"/>
  <c r="P16" i="17"/>
  <c r="E60" i="17"/>
  <c r="D60" i="17"/>
  <c r="C60" i="17"/>
  <c r="E59" i="17"/>
  <c r="D59" i="17"/>
  <c r="C59" i="17"/>
  <c r="E58" i="17"/>
  <c r="D58" i="17"/>
  <c r="C58" i="17"/>
  <c r="E57" i="17"/>
  <c r="D57" i="17"/>
  <c r="C57" i="17"/>
  <c r="E56" i="17"/>
  <c r="D56" i="17"/>
  <c r="C56" i="17"/>
  <c r="S52" i="17" s="1"/>
  <c r="D55" i="17"/>
  <c r="C55" i="17"/>
  <c r="S21" i="17"/>
  <c r="S18" i="17"/>
  <c r="AF71" i="17"/>
  <c r="AF70" i="17"/>
  <c r="AF69" i="17"/>
  <c r="AF68" i="17"/>
  <c r="AF67" i="17"/>
  <c r="AF66" i="17"/>
  <c r="AF65" i="17"/>
  <c r="AF64" i="17"/>
  <c r="AF63" i="17"/>
  <c r="AF62" i="17"/>
  <c r="AF61" i="17"/>
  <c r="AF60" i="17"/>
  <c r="AF59" i="17"/>
  <c r="AF58" i="17"/>
  <c r="AF57" i="17"/>
  <c r="AF56" i="17"/>
  <c r="AF55" i="17"/>
  <c r="AF54" i="17"/>
  <c r="AF53" i="17"/>
  <c r="AF52" i="17"/>
  <c r="AF51" i="17"/>
  <c r="AF50" i="17"/>
  <c r="AF49" i="17"/>
  <c r="AF48" i="17"/>
  <c r="AF47" i="17"/>
  <c r="AF46" i="17"/>
  <c r="AF45" i="17"/>
  <c r="AF44" i="17"/>
  <c r="AF43" i="17"/>
  <c r="AF42" i="17"/>
  <c r="AF41" i="17"/>
  <c r="AF40" i="17"/>
  <c r="AF39" i="17"/>
  <c r="AF38" i="17"/>
  <c r="AF37" i="17"/>
  <c r="AF36" i="17"/>
  <c r="AF35" i="17"/>
  <c r="AF34" i="17"/>
  <c r="AF33" i="17"/>
  <c r="AF32" i="17"/>
  <c r="AF31" i="17"/>
  <c r="AF30" i="17"/>
  <c r="AF29" i="17"/>
  <c r="AF28" i="17"/>
  <c r="AF27" i="17"/>
  <c r="AF26" i="17"/>
  <c r="AF25" i="17"/>
  <c r="AF24" i="17"/>
  <c r="AF23" i="17"/>
  <c r="AF22" i="17"/>
  <c r="AF21" i="17"/>
  <c r="AF20" i="17"/>
  <c r="AF19" i="17"/>
  <c r="AF18" i="17"/>
  <c r="AF17" i="17"/>
  <c r="AF16" i="17"/>
  <c r="AI67" i="17"/>
  <c r="S20" i="17"/>
  <c r="S16" i="17"/>
  <c r="B5" i="19"/>
  <c r="B4" i="2"/>
  <c r="A2" i="8"/>
  <c r="B5" i="2"/>
  <c r="A4" i="12"/>
  <c r="AK5" i="17"/>
  <c r="K6" i="15"/>
  <c r="AK6" i="17"/>
  <c r="K7" i="15"/>
  <c r="AK7" i="17"/>
  <c r="K8" i="15"/>
  <c r="AK8" i="17"/>
  <c r="X16" i="17"/>
  <c r="AK9" i="17"/>
  <c r="K10" i="15"/>
  <c r="AK10" i="17"/>
  <c r="AA18" i="17"/>
  <c r="AK11" i="17"/>
  <c r="K12" i="15"/>
  <c r="AK4" i="17"/>
  <c r="K5" i="15"/>
  <c r="AN4" i="17"/>
  <c r="P5" i="19"/>
  <c r="BH4" i="2"/>
  <c r="BG3" i="12"/>
  <c r="P50" i="17"/>
  <c r="P58" i="17"/>
  <c r="Z89" i="17"/>
  <c r="AA89" i="17"/>
  <c r="AB89" i="17"/>
  <c r="V93" i="17"/>
  <c r="P64" i="17"/>
  <c r="Z91" i="17"/>
  <c r="AA91" i="17"/>
  <c r="P70" i="17"/>
  <c r="P47" i="17"/>
  <c r="W89" i="17"/>
  <c r="T91" i="17"/>
  <c r="P19" i="17"/>
  <c r="P45" i="17"/>
  <c r="P57" i="17"/>
  <c r="W81" i="17"/>
  <c r="H91" i="17"/>
  <c r="P46" i="17"/>
  <c r="T87" i="17"/>
  <c r="Q89" i="17"/>
  <c r="P31" i="17"/>
  <c r="P59" i="17"/>
  <c r="P63" i="17"/>
  <c r="T85" i="17"/>
  <c r="N89" i="17"/>
  <c r="P48" i="17"/>
  <c r="P65" i="17"/>
  <c r="Q85" i="17"/>
  <c r="R85" i="17"/>
  <c r="S85" i="17"/>
  <c r="P87" i="17"/>
  <c r="P30" i="17"/>
  <c r="Z78" i="17"/>
  <c r="P38" i="17"/>
  <c r="P68" i="17"/>
  <c r="P54" i="17"/>
  <c r="N83" i="17"/>
  <c r="K85" i="17"/>
  <c r="P41" i="17"/>
  <c r="P53" i="17"/>
  <c r="Z83" i="17"/>
  <c r="K93" i="17"/>
  <c r="P39" i="17"/>
  <c r="P33" i="17"/>
  <c r="Q78" i="17"/>
  <c r="P49" i="17"/>
  <c r="P66" i="17"/>
  <c r="K81" i="17"/>
  <c r="H83" i="17"/>
  <c r="P17" i="17"/>
  <c r="P69" i="17"/>
  <c r="P44" i="17"/>
  <c r="Z81" i="17"/>
  <c r="H93" i="17"/>
  <c r="P61" i="17"/>
  <c r="Q81" i="17"/>
  <c r="R81" i="17"/>
  <c r="P37" i="17"/>
  <c r="W82" i="17"/>
  <c r="K90" i="17"/>
  <c r="P29" i="17"/>
  <c r="P35" i="17"/>
  <c r="Q84" i="17"/>
  <c r="P36" i="17"/>
  <c r="P51" i="17"/>
  <c r="W79" i="17"/>
  <c r="X79" i="17"/>
  <c r="P71" i="17"/>
  <c r="Q79" i="17"/>
  <c r="E87" i="17"/>
  <c r="P56" i="17"/>
  <c r="N79" i="17"/>
  <c r="O79" i="17"/>
  <c r="P79" i="17"/>
  <c r="G85" i="17"/>
  <c r="Z77" i="17"/>
  <c r="B92" i="17"/>
  <c r="W77" i="17"/>
  <c r="B90" i="17"/>
  <c r="T77" i="17"/>
  <c r="B88" i="17"/>
  <c r="Q77" i="17"/>
  <c r="B86" i="17"/>
  <c r="N77" i="17"/>
  <c r="B84" i="17"/>
  <c r="K77" i="17"/>
  <c r="B82" i="17"/>
  <c r="H77" i="17"/>
  <c r="B80" i="17"/>
  <c r="E77" i="17"/>
  <c r="B78" i="17"/>
  <c r="S71" i="17"/>
  <c r="S70" i="17"/>
  <c r="S69" i="17"/>
  <c r="S68" i="17"/>
  <c r="S67" i="17"/>
  <c r="S66" i="17"/>
  <c r="S65" i="17"/>
  <c r="S64" i="17"/>
  <c r="S63" i="17"/>
  <c r="S62" i="17"/>
  <c r="S61" i="17"/>
  <c r="S60" i="17"/>
  <c r="S59" i="17"/>
  <c r="S58" i="17"/>
  <c r="S57" i="17"/>
  <c r="S56" i="17"/>
  <c r="S55" i="17"/>
  <c r="S54" i="17"/>
  <c r="S53" i="17"/>
  <c r="S51" i="17"/>
  <c r="S50" i="17"/>
  <c r="S49" i="17"/>
  <c r="S48" i="17"/>
  <c r="S47" i="17"/>
  <c r="S46" i="17"/>
  <c r="S45" i="17"/>
  <c r="S44" i="17"/>
  <c r="S43" i="17"/>
  <c r="S42" i="17"/>
  <c r="S41" i="17"/>
  <c r="S40" i="17"/>
  <c r="S38" i="17"/>
  <c r="S36" i="17"/>
  <c r="S34" i="17"/>
  <c r="S33" i="17"/>
  <c r="S32" i="17"/>
  <c r="S31" i="17"/>
  <c r="S30" i="17"/>
  <c r="S28" i="17"/>
  <c r="S27" i="17"/>
  <c r="S26" i="17"/>
  <c r="S25" i="17"/>
  <c r="S24" i="17"/>
  <c r="S23" i="17"/>
  <c r="S22" i="17"/>
  <c r="S19" i="17"/>
  <c r="P60" i="17"/>
  <c r="P67" i="17"/>
  <c r="K79" i="17"/>
  <c r="E83" i="17"/>
  <c r="P32" i="17"/>
  <c r="T82" i="17"/>
  <c r="P18" i="17"/>
  <c r="S17" i="17"/>
  <c r="E41" i="17"/>
  <c r="P40" i="17"/>
  <c r="P27" i="17"/>
  <c r="AA68" i="17"/>
  <c r="AA67" i="17"/>
  <c r="X66" i="17"/>
  <c r="AA65" i="17"/>
  <c r="AA64" i="17"/>
  <c r="AA63" i="17"/>
  <c r="X63" i="17"/>
  <c r="X62" i="17"/>
  <c r="AA61" i="17"/>
  <c r="AA60" i="17"/>
  <c r="X59" i="17"/>
  <c r="AA58" i="17"/>
  <c r="X57" i="17"/>
  <c r="AA56" i="17"/>
  <c r="X56" i="17"/>
  <c r="X55" i="17"/>
  <c r="X54" i="17"/>
  <c r="AA50" i="17"/>
  <c r="AA49" i="17"/>
  <c r="X49" i="17"/>
  <c r="X48" i="17"/>
  <c r="AA47" i="17"/>
  <c r="X47" i="17"/>
  <c r="X45" i="17"/>
  <c r="AA44" i="17"/>
  <c r="AA43" i="17"/>
  <c r="X41" i="17"/>
  <c r="AA37" i="17"/>
  <c r="AA32" i="17"/>
  <c r="X29" i="17"/>
  <c r="AA21" i="17"/>
  <c r="X20" i="17"/>
  <c r="AN11" i="17"/>
  <c r="AN10" i="17"/>
  <c r="AN9" i="17"/>
  <c r="AN8" i="17"/>
  <c r="AN7" i="17"/>
  <c r="AN6" i="17"/>
  <c r="AN5" i="17"/>
  <c r="AD20" i="8"/>
  <c r="Z20" i="8"/>
  <c r="X20" i="8"/>
  <c r="U20" i="8"/>
  <c r="R20" i="8"/>
  <c r="O20" i="8"/>
  <c r="L20" i="8"/>
  <c r="I20" i="8"/>
  <c r="F20" i="8"/>
  <c r="C20" i="8"/>
  <c r="AC17" i="8"/>
  <c r="AB17" i="8"/>
  <c r="AA17" i="8"/>
  <c r="A17" i="8"/>
  <c r="AC15" i="8"/>
  <c r="AB15" i="8"/>
  <c r="AA15" i="8"/>
  <c r="A15" i="8"/>
  <c r="AC13" i="8"/>
  <c r="AB13" i="8"/>
  <c r="AA13" i="8"/>
  <c r="A13" i="8"/>
  <c r="AC11" i="8"/>
  <c r="AB11" i="8"/>
  <c r="AA11" i="8"/>
  <c r="A11" i="8"/>
  <c r="AC9" i="8"/>
  <c r="AB9" i="8"/>
  <c r="AA9" i="8"/>
  <c r="AD9" i="8"/>
  <c r="Z9" i="8"/>
  <c r="AC7" i="8"/>
  <c r="AB7" i="8"/>
  <c r="AA7" i="8"/>
  <c r="AD7" i="8"/>
  <c r="Z7" i="8"/>
  <c r="D20" i="8"/>
  <c r="G20" i="8"/>
  <c r="Y20" i="8"/>
  <c r="W20" i="8"/>
  <c r="V20" i="8"/>
  <c r="T20" i="8"/>
  <c r="S20" i="8"/>
  <c r="Q20" i="8"/>
  <c r="P20" i="8"/>
  <c r="N20" i="8"/>
  <c r="M20" i="8"/>
  <c r="K20" i="8"/>
  <c r="J20" i="8"/>
  <c r="H20" i="8"/>
  <c r="E20" i="8"/>
  <c r="B20" i="8"/>
  <c r="AA69" i="17"/>
  <c r="AA16" i="17"/>
  <c r="AI69" i="17"/>
  <c r="P62" i="17"/>
  <c r="W85" i="17"/>
  <c r="X85" i="17"/>
  <c r="Z87" i="17"/>
  <c r="Q93" i="17"/>
  <c r="T83" i="17"/>
  <c r="K89" i="17"/>
  <c r="P55" i="17"/>
  <c r="H79" i="17"/>
  <c r="E81" i="17"/>
  <c r="AI44" i="17"/>
  <c r="AI50" i="17"/>
  <c r="AI52" i="17"/>
  <c r="AI53" i="17"/>
  <c r="AI54" i="17"/>
  <c r="AI56" i="17"/>
  <c r="AI61" i="17"/>
  <c r="N81" i="17"/>
  <c r="H85" i="17"/>
  <c r="X58" i="17"/>
  <c r="AA51" i="17"/>
  <c r="AA45" i="17"/>
  <c r="AA53" i="17"/>
  <c r="AA66" i="17"/>
  <c r="AA70" i="17"/>
  <c r="AA62" i="17"/>
  <c r="AA54" i="17"/>
  <c r="AA59" i="17"/>
  <c r="X50" i="17"/>
  <c r="AA46" i="17"/>
  <c r="AA52" i="17"/>
  <c r="X27" i="17"/>
  <c r="X53" i="17"/>
  <c r="AA23" i="17"/>
  <c r="AA48" i="17"/>
  <c r="AA57" i="17"/>
  <c r="AA40" i="17"/>
  <c r="AA24" i="17"/>
  <c r="X46" i="17"/>
  <c r="X64" i="17"/>
  <c r="AA55" i="17"/>
  <c r="AA71" i="17"/>
  <c r="X31" i="17"/>
  <c r="X71" i="17"/>
  <c r="X51" i="17"/>
  <c r="X34" i="17"/>
  <c r="X21" i="17"/>
  <c r="X44" i="17"/>
  <c r="X52" i="17"/>
  <c r="X60" i="17"/>
  <c r="X36" i="17"/>
  <c r="X61" i="17"/>
  <c r="X65" i="17"/>
  <c r="E34" i="17"/>
  <c r="P43" i="17"/>
  <c r="H78" i="17"/>
  <c r="E80" i="17"/>
  <c r="P42" i="17"/>
  <c r="T84" i="17"/>
  <c r="P52" i="17"/>
  <c r="W87" i="17"/>
  <c r="X87" i="17"/>
  <c r="Z79" i="17"/>
  <c r="E93" i="17"/>
  <c r="W83" i="17"/>
  <c r="X83" i="17"/>
  <c r="T81" i="17"/>
  <c r="U81" i="17"/>
  <c r="I89" i="17"/>
  <c r="Z85" i="17"/>
  <c r="AA85" i="17"/>
  <c r="Q83" i="17"/>
  <c r="K87" i="17"/>
  <c r="T79" i="17"/>
  <c r="E89" i="17"/>
  <c r="AI49" i="17"/>
  <c r="AI57" i="17"/>
  <c r="AI65" i="17"/>
  <c r="AI68" i="17"/>
  <c r="AI71" i="17"/>
  <c r="AI51" i="17"/>
  <c r="AI62" i="17"/>
  <c r="AI66" i="17"/>
  <c r="AI45" i="17"/>
  <c r="AI59" i="17"/>
  <c r="AI47" i="17"/>
  <c r="AI60" i="17"/>
  <c r="AI48" i="17"/>
  <c r="AI58" i="17"/>
  <c r="AI46" i="17"/>
  <c r="AI70" i="17"/>
  <c r="AA22" i="17"/>
  <c r="X70" i="17"/>
  <c r="X40" i="17"/>
  <c r="X67" i="17"/>
  <c r="X26" i="17"/>
  <c r="X69" i="17"/>
  <c r="AI55" i="17"/>
  <c r="AI64" i="17"/>
  <c r="X68" i="17"/>
  <c r="K9" i="15"/>
  <c r="E35" i="17"/>
  <c r="E55" i="17"/>
  <c r="P28" i="17"/>
  <c r="T78" i="17"/>
  <c r="W80" i="17"/>
  <c r="H90" i="17"/>
  <c r="T86" i="17"/>
  <c r="U86" i="17"/>
  <c r="V86" i="17"/>
  <c r="S88" i="17"/>
  <c r="B56" i="2"/>
  <c r="AL5" i="2"/>
  <c r="X25" i="17"/>
  <c r="AA20" i="17"/>
  <c r="B66" i="2"/>
  <c r="AS5" i="2"/>
  <c r="AT26" i="17"/>
  <c r="B76" i="2"/>
  <c r="AZ5" i="2"/>
  <c r="AA30" i="17"/>
  <c r="AA35" i="17"/>
  <c r="W78" i="17"/>
  <c r="X78" i="17"/>
  <c r="Z86" i="17"/>
  <c r="Q92" i="17"/>
  <c r="Q82" i="17"/>
  <c r="R82" i="17"/>
  <c r="T80" i="17"/>
  <c r="H88" i="17"/>
  <c r="W84" i="17"/>
  <c r="X84" i="17"/>
  <c r="Z88" i="17"/>
  <c r="AA88" i="17"/>
  <c r="U92" i="17"/>
  <c r="AA38" i="17"/>
  <c r="AA19" i="17"/>
  <c r="AA27" i="17"/>
  <c r="AA34" i="17"/>
  <c r="AA31" i="17"/>
  <c r="AA42" i="17"/>
  <c r="X19" i="17"/>
  <c r="X37" i="17"/>
  <c r="X18" i="17"/>
  <c r="AA41" i="17"/>
  <c r="X24" i="17"/>
  <c r="X32" i="17"/>
  <c r="K11" i="15"/>
  <c r="AA25" i="17"/>
  <c r="AA39" i="17"/>
  <c r="AA28" i="17"/>
  <c r="AA33" i="17"/>
  <c r="AA29" i="17"/>
  <c r="AU28" i="17"/>
  <c r="AU13" i="17"/>
  <c r="AT14" i="17"/>
  <c r="AU25" i="17"/>
  <c r="AT22" i="17"/>
  <c r="AU12" i="17"/>
  <c r="AT23" i="17"/>
  <c r="AT6" i="17"/>
  <c r="AU17" i="17"/>
  <c r="AU23" i="17"/>
  <c r="AU14" i="17"/>
  <c r="AT18" i="17"/>
  <c r="AU7" i="17"/>
  <c r="AU22" i="17"/>
  <c r="AT7" i="17"/>
  <c r="AU8" i="17"/>
  <c r="AU26" i="17"/>
  <c r="AT8" i="17"/>
  <c r="AT17" i="17"/>
  <c r="AT25" i="17"/>
  <c r="AU6" i="17"/>
  <c r="AU18" i="17"/>
  <c r="AT19" i="17"/>
  <c r="AW30" i="17"/>
  <c r="AS30" i="17"/>
  <c r="AU19" i="17"/>
  <c r="AT12" i="17"/>
  <c r="AT28" i="17"/>
  <c r="AU21" i="17"/>
  <c r="AT13" i="17"/>
  <c r="AT21" i="17"/>
  <c r="AI42" i="17"/>
  <c r="N82" i="17"/>
  <c r="K84" i="17"/>
  <c r="AI41" i="17"/>
  <c r="Z90" i="17"/>
  <c r="AA90" i="17"/>
  <c r="X92" i="17"/>
  <c r="AI40" i="17"/>
  <c r="AI39" i="17"/>
  <c r="N78" i="17"/>
  <c r="E84" i="17"/>
  <c r="N80" i="17"/>
  <c r="O80" i="17"/>
  <c r="P80" i="17"/>
  <c r="J84" i="17"/>
  <c r="W88" i="17"/>
  <c r="X88" i="17"/>
  <c r="Y88" i="17"/>
  <c r="V90" i="17"/>
  <c r="K78" i="17"/>
  <c r="L78" i="17"/>
  <c r="F82" i="17"/>
  <c r="W86" i="17"/>
  <c r="X86" i="17"/>
  <c r="Y86" i="17"/>
  <c r="S90" i="17"/>
  <c r="K80" i="17"/>
  <c r="L80" i="17"/>
  <c r="I82" i="17"/>
  <c r="Z84" i="17"/>
  <c r="AA84" i="17"/>
  <c r="AB84" i="17"/>
  <c r="P92" i="17"/>
  <c r="AI27" i="17"/>
  <c r="Z82" i="17"/>
  <c r="AA82" i="17"/>
  <c r="AB82" i="17"/>
  <c r="M92" i="17"/>
  <c r="Z80" i="17"/>
  <c r="H92" i="17"/>
  <c r="A3" i="8"/>
  <c r="AI35" i="17"/>
  <c r="AI32" i="17"/>
  <c r="AI20" i="17"/>
  <c r="AI25" i="17"/>
  <c r="AI16" i="17"/>
  <c r="AI29" i="17"/>
  <c r="AI26" i="17"/>
  <c r="AI19" i="17"/>
  <c r="AI34" i="17"/>
  <c r="AI37" i="17"/>
  <c r="AI33" i="17"/>
  <c r="AI21" i="17"/>
  <c r="AI22" i="17"/>
  <c r="AI31" i="17"/>
  <c r="AI17" i="17"/>
  <c r="AI23" i="17"/>
  <c r="AI18" i="17"/>
  <c r="AI30" i="17"/>
  <c r="AI38" i="17"/>
  <c r="AI28" i="17"/>
  <c r="AI36" i="17"/>
  <c r="AI24" i="17"/>
  <c r="T93" i="17"/>
  <c r="X89" i="17"/>
  <c r="U91" i="17"/>
  <c r="O83" i="17"/>
  <c r="P83" i="17"/>
  <c r="M85" i="17"/>
  <c r="E85" i="17"/>
  <c r="W93" i="17"/>
  <c r="N87" i="17"/>
  <c r="U87" i="17"/>
  <c r="V87" i="17"/>
  <c r="S89" i="17"/>
  <c r="R79" i="17"/>
  <c r="S79" i="17"/>
  <c r="G87" i="17"/>
  <c r="O81" i="17"/>
  <c r="I85" i="17"/>
  <c r="U83" i="17"/>
  <c r="L89" i="17"/>
  <c r="E86" i="17"/>
  <c r="R78" i="17"/>
  <c r="AA83" i="17"/>
  <c r="AB83" i="17"/>
  <c r="M93" i="17"/>
  <c r="X93" i="17"/>
  <c r="AB91" i="17"/>
  <c r="Y93" i="17"/>
  <c r="H89" i="17"/>
  <c r="U79" i="17"/>
  <c r="V79" i="17"/>
  <c r="G89" i="17"/>
  <c r="X81" i="17"/>
  <c r="I91" i="17"/>
  <c r="R83" i="17"/>
  <c r="L87" i="17"/>
  <c r="L81" i="17"/>
  <c r="M81" i="17"/>
  <c r="J83" i="17"/>
  <c r="AB85" i="17"/>
  <c r="P93" i="17"/>
  <c r="O93" i="17"/>
  <c r="U93" i="17"/>
  <c r="AA81" i="17"/>
  <c r="X82" i="17"/>
  <c r="Y82" i="17"/>
  <c r="M90" i="17"/>
  <c r="K91" i="17"/>
  <c r="L79" i="17"/>
  <c r="N93" i="17"/>
  <c r="L91" i="17"/>
  <c r="Y83" i="17"/>
  <c r="M91" i="17"/>
  <c r="F91" i="17"/>
  <c r="Y79" i="17"/>
  <c r="G91" i="17"/>
  <c r="I86" i="17"/>
  <c r="S80" i="17"/>
  <c r="J86" i="17"/>
  <c r="R91" i="17"/>
  <c r="Y87" i="17"/>
  <c r="S91" i="17"/>
  <c r="AA78" i="17"/>
  <c r="E92" i="17"/>
  <c r="U82" i="17"/>
  <c r="K88" i="17"/>
  <c r="N88" i="17"/>
  <c r="U84" i="17"/>
  <c r="I87" i="17"/>
  <c r="S81" i="17"/>
  <c r="J87" i="17"/>
  <c r="N86" i="17"/>
  <c r="R84" i="17"/>
  <c r="U78" i="17"/>
  <c r="E88" i="17"/>
  <c r="Y85" i="17"/>
  <c r="P91" i="17"/>
  <c r="O91" i="17"/>
  <c r="F85" i="17"/>
  <c r="AA87" i="17"/>
  <c r="Q91" i="17"/>
  <c r="AA79" i="17"/>
  <c r="U85" i="17"/>
  <c r="O87" i="17"/>
  <c r="I79" i="17"/>
  <c r="E91" i="17"/>
  <c r="H87" i="17"/>
  <c r="V81" i="17"/>
  <c r="J89" i="17"/>
  <c r="H86" i="17"/>
  <c r="I78" i="17"/>
  <c r="N91" i="17"/>
  <c r="AW9" i="17"/>
  <c r="AV29" i="17"/>
  <c r="AR29" i="17"/>
  <c r="AV24" i="17"/>
  <c r="AV15" i="17"/>
  <c r="AW29" i="17"/>
  <c r="AW15" i="17"/>
  <c r="AW24" i="17"/>
  <c r="AV27" i="17"/>
  <c r="AR27" i="17"/>
  <c r="AV30" i="17"/>
  <c r="AW20" i="17"/>
  <c r="AV20" i="17"/>
  <c r="AR20" i="17"/>
  <c r="AV9" i="17"/>
  <c r="AW27" i="17"/>
  <c r="X22" i="17"/>
  <c r="X35" i="17"/>
  <c r="AA26" i="17"/>
  <c r="X38" i="17"/>
  <c r="AA36" i="17"/>
  <c r="X42" i="17"/>
  <c r="AA17" i="17"/>
  <c r="X17" i="17"/>
  <c r="X33" i="17"/>
  <c r="X28" i="17"/>
  <c r="X23" i="17"/>
  <c r="X43" i="17"/>
  <c r="X39" i="17"/>
  <c r="X30" i="17"/>
  <c r="D6" i="10"/>
  <c r="A3" i="12"/>
  <c r="E90" i="17"/>
  <c r="Q88" i="17"/>
  <c r="R88" i="17"/>
  <c r="X80" i="17"/>
  <c r="Y80" i="17"/>
  <c r="J90" i="17"/>
  <c r="K86" i="17"/>
  <c r="AA86" i="17"/>
  <c r="AB86" i="17"/>
  <c r="S92" i="17"/>
  <c r="U80" i="17"/>
  <c r="V80" i="17"/>
  <c r="J88" i="17"/>
  <c r="T92" i="17"/>
  <c r="W92" i="17"/>
  <c r="Q90" i="17"/>
  <c r="N90" i="17"/>
  <c r="AB88" i="17"/>
  <c r="V92" i="17"/>
  <c r="O78" i="17"/>
  <c r="F84" i="17"/>
  <c r="AB90" i="17"/>
  <c r="Y92" i="17"/>
  <c r="O82" i="17"/>
  <c r="P82" i="17"/>
  <c r="M84" i="17"/>
  <c r="AU30" i="17"/>
  <c r="AT20" i="17"/>
  <c r="AR24" i="17"/>
  <c r="AT24" i="17"/>
  <c r="AT27" i="17"/>
  <c r="AR15" i="17"/>
  <c r="AT15" i="17"/>
  <c r="AR30" i="17"/>
  <c r="AT30" i="17"/>
  <c r="AT29" i="17"/>
  <c r="H84" i="17"/>
  <c r="T90" i="17"/>
  <c r="M78" i="17"/>
  <c r="G82" i="17"/>
  <c r="E82" i="17"/>
  <c r="R90" i="17"/>
  <c r="H82" i="17"/>
  <c r="O92" i="17"/>
  <c r="N92" i="17"/>
  <c r="L92" i="17"/>
  <c r="K92" i="17"/>
  <c r="AA80" i="17"/>
  <c r="AB80" i="17"/>
  <c r="J92" i="17"/>
  <c r="F87" i="17"/>
  <c r="AS24" i="17"/>
  <c r="AU24" i="17"/>
  <c r="AS15" i="17"/>
  <c r="AU15" i="17"/>
  <c r="AS20" i="17"/>
  <c r="AU20" i="17"/>
  <c r="AS27" i="17"/>
  <c r="AU27" i="17"/>
  <c r="AS29" i="17"/>
  <c r="AU29" i="17"/>
  <c r="AR9" i="17"/>
  <c r="AT9" i="17"/>
  <c r="AS9" i="17"/>
  <c r="AU9" i="17"/>
  <c r="P81" i="17"/>
  <c r="J85" i="17"/>
  <c r="Y89" i="17"/>
  <c r="V91" i="17"/>
  <c r="L85" i="17"/>
  <c r="R89" i="17"/>
  <c r="Y81" i="17"/>
  <c r="J91" i="17"/>
  <c r="L93" i="17"/>
  <c r="M80" i="17"/>
  <c r="J82" i="17"/>
  <c r="I90" i="17"/>
  <c r="V83" i="17"/>
  <c r="M89" i="17"/>
  <c r="U90" i="17"/>
  <c r="I83" i="17"/>
  <c r="F89" i="17"/>
  <c r="L90" i="17"/>
  <c r="S83" i="17"/>
  <c r="M87" i="17"/>
  <c r="I84" i="17"/>
  <c r="F86" i="17"/>
  <c r="S78" i="17"/>
  <c r="G86" i="17"/>
  <c r="I88" i="17"/>
  <c r="AB81" i="17"/>
  <c r="J93" i="17"/>
  <c r="I93" i="17"/>
  <c r="M79" i="17"/>
  <c r="G83" i="17"/>
  <c r="F83" i="17"/>
  <c r="F80" i="17"/>
  <c r="J78" i="17"/>
  <c r="G80" i="17"/>
  <c r="O89" i="17"/>
  <c r="V85" i="17"/>
  <c r="P89" i="17"/>
  <c r="O88" i="17"/>
  <c r="V84" i="17"/>
  <c r="P88" i="17"/>
  <c r="AB79" i="17"/>
  <c r="G93" i="17"/>
  <c r="F93" i="17"/>
  <c r="S84" i="17"/>
  <c r="P86" i="17"/>
  <c r="O86" i="17"/>
  <c r="F92" i="17"/>
  <c r="AB78" i="17"/>
  <c r="G92" i="17"/>
  <c r="J79" i="17"/>
  <c r="G81" i="17"/>
  <c r="F81" i="17"/>
  <c r="L86" i="17"/>
  <c r="S82" i="17"/>
  <c r="M86" i="17"/>
  <c r="F90" i="17"/>
  <c r="Y78" i="17"/>
  <c r="G90" i="17"/>
  <c r="AB87" i="17"/>
  <c r="S93" i="17"/>
  <c r="R93" i="17"/>
  <c r="F88" i="17"/>
  <c r="V78" i="17"/>
  <c r="G88" i="17"/>
  <c r="V82" i="17"/>
  <c r="M88" i="17"/>
  <c r="L88" i="17"/>
  <c r="Y84" i="17"/>
  <c r="P90" i="17"/>
  <c r="O90" i="17"/>
  <c r="R92" i="17"/>
  <c r="L84" i="17"/>
  <c r="P78" i="17"/>
  <c r="G84" i="17"/>
  <c r="I92" i="17"/>
  <c r="AQ26" i="17"/>
  <c r="AQ8" i="17"/>
  <c r="AQ9" i="17"/>
  <c r="AQ18" i="17"/>
  <c r="AQ16" i="17"/>
  <c r="AQ17" i="17"/>
  <c r="AQ23" i="17"/>
  <c r="AQ15" i="17"/>
  <c r="AQ6" i="17"/>
  <c r="AQ24" i="17"/>
  <c r="AQ25" i="17"/>
  <c r="AQ4" i="17"/>
  <c r="AQ5" i="17"/>
  <c r="AQ14" i="17"/>
  <c r="AQ3" i="17"/>
  <c r="AQ12" i="17"/>
  <c r="AQ13" i="17"/>
  <c r="AQ22" i="17"/>
  <c r="AQ11" i="17"/>
  <c r="AQ20" i="17"/>
  <c r="AQ21" i="17"/>
  <c r="AQ30" i="17"/>
  <c r="AQ27" i="17"/>
  <c r="AQ7" i="17"/>
  <c r="AQ19" i="17"/>
  <c r="AQ28" i="17"/>
  <c r="AQ29" i="17"/>
  <c r="AQ10" i="17"/>
  <c r="AP27" i="17"/>
  <c r="AP11" i="17"/>
  <c r="AP19" i="17"/>
  <c r="AP3" i="17"/>
  <c r="AP7" i="17"/>
  <c r="AP16" i="17"/>
  <c r="AP17" i="17"/>
  <c r="AP26" i="17"/>
  <c r="AP15" i="17"/>
  <c r="AP24" i="17"/>
  <c r="AP25" i="17"/>
  <c r="AP6" i="17"/>
  <c r="AP23" i="17"/>
  <c r="AP14" i="17"/>
  <c r="AP30" i="17"/>
  <c r="AP4" i="17"/>
  <c r="AP5" i="17"/>
  <c r="AP22" i="17"/>
  <c r="AP12" i="17"/>
  <c r="AP13" i="17"/>
  <c r="AP20" i="17"/>
  <c r="AP21" i="17"/>
  <c r="AP9" i="17"/>
  <c r="AP10" i="17"/>
  <c r="AP28" i="17"/>
  <c r="AP29" i="17"/>
  <c r="AP8" i="17"/>
  <c r="AP18" i="17"/>
  <c r="AI63" i="17" l="1"/>
  <c r="AI43" i="17"/>
  <c r="A36" i="19" l="1"/>
  <c r="A51" i="19"/>
  <c r="A21" i="19"/>
  <c r="A37" i="19"/>
  <c r="A9" i="19"/>
  <c r="A15" i="19"/>
  <c r="A13" i="19"/>
  <c r="A60" i="19"/>
  <c r="A31" i="19"/>
  <c r="A39" i="19"/>
  <c r="A52" i="19"/>
  <c r="A7" i="19"/>
  <c r="A41" i="19"/>
  <c r="A22" i="19"/>
  <c r="A14" i="19"/>
  <c r="A58" i="19"/>
  <c r="A27" i="19"/>
  <c r="A43" i="19"/>
  <c r="A11" i="19"/>
  <c r="A32" i="19"/>
  <c r="A28" i="19"/>
  <c r="A26" i="19"/>
  <c r="A38" i="19"/>
  <c r="A33" i="19"/>
  <c r="A18" i="19"/>
  <c r="A61" i="19"/>
  <c r="A30" i="19"/>
  <c r="A54" i="19"/>
  <c r="A34" i="19"/>
  <c r="A19" i="19"/>
  <c r="A56" i="19"/>
  <c r="A46" i="19"/>
  <c r="A35" i="19"/>
  <c r="A10" i="19"/>
  <c r="A62" i="19"/>
  <c r="A24" i="19"/>
  <c r="A8" i="19"/>
  <c r="A17" i="19"/>
  <c r="A40" i="19"/>
  <c r="A23" i="19"/>
  <c r="A45" i="19"/>
  <c r="A49" i="19"/>
  <c r="A25" i="19"/>
  <c r="A12" i="19"/>
  <c r="A16" i="19"/>
  <c r="A59" i="19"/>
  <c r="A53" i="19"/>
  <c r="A20" i="19"/>
  <c r="A50" i="19"/>
  <c r="A55" i="19"/>
  <c r="A47" i="19"/>
  <c r="A42" i="19"/>
  <c r="A29" i="19"/>
  <c r="A57" i="19"/>
  <c r="A48" i="19"/>
  <c r="A44" i="19"/>
  <c r="R44" i="19" l="1"/>
  <c r="F44" i="19"/>
  <c r="E44" i="19"/>
  <c r="H44" i="19"/>
  <c r="G44" i="19"/>
  <c r="Q44" i="19"/>
  <c r="D44" i="19"/>
  <c r="C44" i="19"/>
  <c r="P44" i="19"/>
  <c r="G48" i="19"/>
  <c r="C48" i="19"/>
  <c r="R48" i="19"/>
  <c r="Q48" i="19"/>
  <c r="F48" i="19"/>
  <c r="E48" i="19"/>
  <c r="H48" i="19"/>
  <c r="P48" i="19"/>
  <c r="D48" i="19"/>
  <c r="E57" i="19"/>
  <c r="D57" i="19"/>
  <c r="Q57" i="19"/>
  <c r="H57" i="19"/>
  <c r="R57" i="19"/>
  <c r="G57" i="19"/>
  <c r="C57" i="19"/>
  <c r="P57" i="19"/>
  <c r="F57" i="19"/>
  <c r="Q29" i="19"/>
  <c r="F29" i="19"/>
  <c r="E29" i="19"/>
  <c r="D29" i="19"/>
  <c r="R29" i="19"/>
  <c r="P29" i="19"/>
  <c r="C29" i="19"/>
  <c r="G29" i="19"/>
  <c r="H29" i="19"/>
  <c r="R42" i="19"/>
  <c r="G42" i="19"/>
  <c r="E42" i="19"/>
  <c r="Q42" i="19"/>
  <c r="F42" i="19"/>
  <c r="P42" i="19"/>
  <c r="C42" i="19"/>
  <c r="D42" i="19"/>
  <c r="H42" i="19"/>
  <c r="C47" i="19"/>
  <c r="E47" i="19"/>
  <c r="R47" i="19"/>
  <c r="D47" i="19"/>
  <c r="H47" i="19"/>
  <c r="P47" i="19"/>
  <c r="F47" i="19"/>
  <c r="G47" i="19"/>
  <c r="Q47" i="19"/>
  <c r="C55" i="19"/>
  <c r="G55" i="19"/>
  <c r="H55" i="19"/>
  <c r="F55" i="19"/>
  <c r="D55" i="19"/>
  <c r="Q55" i="19"/>
  <c r="P55" i="19"/>
  <c r="R55" i="19"/>
  <c r="E55" i="19"/>
  <c r="E50" i="19"/>
  <c r="F50" i="19"/>
  <c r="H50" i="19"/>
  <c r="R50" i="19"/>
  <c r="C50" i="19"/>
  <c r="G50" i="19"/>
  <c r="P50" i="19"/>
  <c r="D50" i="19"/>
  <c r="Q50" i="19"/>
  <c r="G20" i="19"/>
  <c r="C20" i="19"/>
  <c r="D20" i="19"/>
  <c r="F20" i="19"/>
  <c r="P20" i="19"/>
  <c r="Q20" i="19"/>
  <c r="R20" i="19"/>
  <c r="H20" i="19"/>
  <c r="E20" i="19"/>
  <c r="G53" i="19"/>
  <c r="F53" i="19"/>
  <c r="H53" i="19"/>
  <c r="R53" i="19"/>
  <c r="C53" i="19"/>
  <c r="P53" i="19"/>
  <c r="D53" i="19"/>
  <c r="E53" i="19"/>
  <c r="Q53" i="19"/>
  <c r="E59" i="19"/>
  <c r="H59" i="19"/>
  <c r="P59" i="19"/>
  <c r="Q59" i="19"/>
  <c r="C59" i="19"/>
  <c r="F59" i="19"/>
  <c r="R59" i="19"/>
  <c r="D59" i="19"/>
  <c r="G59" i="19"/>
  <c r="G16" i="19"/>
  <c r="F16" i="19"/>
  <c r="C16" i="19"/>
  <c r="P16" i="19"/>
  <c r="R16" i="19"/>
  <c r="E16" i="19"/>
  <c r="H16" i="19"/>
  <c r="Q16" i="19"/>
  <c r="D16" i="19"/>
  <c r="R12" i="19"/>
  <c r="F12" i="19"/>
  <c r="E12" i="19"/>
  <c r="G12" i="19"/>
  <c r="Q12" i="19"/>
  <c r="P12" i="19"/>
  <c r="C12" i="19"/>
  <c r="D12" i="19"/>
  <c r="H12" i="19"/>
  <c r="D25" i="19"/>
  <c r="Q25" i="19"/>
  <c r="R25" i="19"/>
  <c r="H25" i="19"/>
  <c r="G25" i="19"/>
  <c r="F25" i="19"/>
  <c r="C25" i="19"/>
  <c r="E25" i="19"/>
  <c r="P25" i="19"/>
  <c r="C49" i="19"/>
  <c r="G49" i="19"/>
  <c r="D49" i="19"/>
  <c r="F49" i="19"/>
  <c r="R49" i="19"/>
  <c r="Q49" i="19"/>
  <c r="P49" i="19"/>
  <c r="E49" i="19"/>
  <c r="H49" i="19"/>
  <c r="P45" i="19"/>
  <c r="F45" i="19"/>
  <c r="E45" i="19"/>
  <c r="C45" i="19"/>
  <c r="H45" i="19"/>
  <c r="R45" i="19"/>
  <c r="Q45" i="19"/>
  <c r="D45" i="19"/>
  <c r="G45" i="19"/>
  <c r="F23" i="19"/>
  <c r="E23" i="19"/>
  <c r="D23" i="19"/>
  <c r="Q23" i="19"/>
  <c r="C23" i="19"/>
  <c r="G23" i="19"/>
  <c r="P23" i="19"/>
  <c r="H23" i="19"/>
  <c r="R23" i="19"/>
  <c r="Q40" i="19"/>
  <c r="R40" i="19"/>
  <c r="P40" i="19"/>
  <c r="H40" i="19"/>
  <c r="E40" i="19"/>
  <c r="G40" i="19"/>
  <c r="F40" i="19"/>
  <c r="C40" i="19"/>
  <c r="D40" i="19"/>
  <c r="H17" i="19"/>
  <c r="E17" i="19"/>
  <c r="C17" i="19"/>
  <c r="R17" i="19"/>
  <c r="F17" i="19"/>
  <c r="D17" i="19"/>
  <c r="Q17" i="19"/>
  <c r="G17" i="19"/>
  <c r="P17" i="19"/>
  <c r="F8" i="19"/>
  <c r="E8" i="19"/>
  <c r="Q8" i="19"/>
  <c r="P8" i="19"/>
  <c r="H8" i="19"/>
  <c r="D8" i="19"/>
  <c r="R8" i="19"/>
  <c r="G8" i="19"/>
  <c r="C8" i="19"/>
  <c r="H24" i="19"/>
  <c r="G24" i="19"/>
  <c r="F24" i="19"/>
  <c r="Q24" i="19"/>
  <c r="P24" i="19"/>
  <c r="E24" i="19"/>
  <c r="D24" i="19"/>
  <c r="R24" i="19"/>
  <c r="C24" i="19"/>
  <c r="C62" i="19"/>
  <c r="Q62" i="19"/>
  <c r="E62" i="19"/>
  <c r="F62" i="19"/>
  <c r="P62" i="19"/>
  <c r="D62" i="19"/>
  <c r="G62" i="19"/>
  <c r="H62" i="19"/>
  <c r="R62" i="19"/>
  <c r="H10" i="19"/>
  <c r="R10" i="19"/>
  <c r="P10" i="19"/>
  <c r="G10" i="19"/>
  <c r="C10" i="19"/>
  <c r="F10" i="19"/>
  <c r="D10" i="19"/>
  <c r="Q10" i="19"/>
  <c r="E10" i="19"/>
  <c r="D35" i="19"/>
  <c r="F35" i="19"/>
  <c r="G35" i="19"/>
  <c r="C35" i="19"/>
  <c r="E35" i="19"/>
  <c r="P35" i="19"/>
  <c r="H35" i="19"/>
  <c r="R35" i="19"/>
  <c r="Q35" i="19"/>
  <c r="Q46" i="19"/>
  <c r="E46" i="19"/>
  <c r="C46" i="19"/>
  <c r="P46" i="19"/>
  <c r="R46" i="19"/>
  <c r="D46" i="19"/>
  <c r="F46" i="19"/>
  <c r="G46" i="19"/>
  <c r="H46" i="19"/>
  <c r="G56" i="19"/>
  <c r="E56" i="19"/>
  <c r="F56" i="19"/>
  <c r="Q56" i="19"/>
  <c r="D56" i="19"/>
  <c r="C56" i="19"/>
  <c r="H56" i="19"/>
  <c r="P56" i="19"/>
  <c r="R56" i="19"/>
  <c r="R19" i="19"/>
  <c r="C19" i="19"/>
  <c r="D19" i="19"/>
  <c r="Q19" i="19"/>
  <c r="E19" i="19"/>
  <c r="G19" i="19"/>
  <c r="F19" i="19"/>
  <c r="P19" i="19"/>
  <c r="H19" i="19"/>
  <c r="H34" i="19"/>
  <c r="F34" i="19"/>
  <c r="C34" i="19"/>
  <c r="P34" i="19"/>
  <c r="E34" i="19"/>
  <c r="R34" i="19"/>
  <c r="G34" i="19"/>
  <c r="D34" i="19"/>
  <c r="Q34" i="19"/>
  <c r="G54" i="19"/>
  <c r="C54" i="19"/>
  <c r="R54" i="19"/>
  <c r="D54" i="19"/>
  <c r="Q54" i="19"/>
  <c r="H54" i="19"/>
  <c r="P54" i="19"/>
  <c r="E54" i="19"/>
  <c r="F54" i="19"/>
  <c r="H30" i="19"/>
  <c r="P30" i="19"/>
  <c r="G30" i="19"/>
  <c r="Q30" i="19"/>
  <c r="F30" i="19"/>
  <c r="D30" i="19"/>
  <c r="R30" i="19"/>
  <c r="C30" i="19"/>
  <c r="E30" i="19"/>
  <c r="C61" i="19"/>
  <c r="F61" i="19"/>
  <c r="Q61" i="19"/>
  <c r="R61" i="19"/>
  <c r="P61" i="19"/>
  <c r="D61" i="19"/>
  <c r="E61" i="19"/>
  <c r="H61" i="19"/>
  <c r="G61" i="19"/>
  <c r="H18" i="19"/>
  <c r="P18" i="19"/>
  <c r="R18" i="19"/>
  <c r="C18" i="19"/>
  <c r="D18" i="19"/>
  <c r="G18" i="19"/>
  <c r="Q18" i="19"/>
  <c r="E18" i="19"/>
  <c r="F18" i="19"/>
  <c r="G33" i="19"/>
  <c r="C33" i="19"/>
  <c r="P33" i="19"/>
  <c r="F33" i="19"/>
  <c r="Q33" i="19"/>
  <c r="E33" i="19"/>
  <c r="H33" i="19"/>
  <c r="R33" i="19"/>
  <c r="D33" i="19"/>
  <c r="F38" i="19"/>
  <c r="E38" i="19"/>
  <c r="C38" i="19"/>
  <c r="G38" i="19"/>
  <c r="P38" i="19"/>
  <c r="H38" i="19"/>
  <c r="Q38" i="19"/>
  <c r="D38" i="19"/>
  <c r="R38" i="19"/>
  <c r="Q26" i="19"/>
  <c r="D26" i="19"/>
  <c r="F26" i="19"/>
  <c r="E26" i="19"/>
  <c r="C26" i="19"/>
  <c r="G26" i="19"/>
  <c r="R26" i="19"/>
  <c r="P26" i="19"/>
  <c r="H26" i="19"/>
  <c r="P28" i="19"/>
  <c r="R28" i="19"/>
  <c r="Q28" i="19"/>
  <c r="F28" i="19"/>
  <c r="D28" i="19"/>
  <c r="H28" i="19"/>
  <c r="G28" i="19"/>
  <c r="C28" i="19"/>
  <c r="E28" i="19"/>
  <c r="D32" i="19"/>
  <c r="P32" i="19"/>
  <c r="Q32" i="19"/>
  <c r="G32" i="19"/>
  <c r="E32" i="19"/>
  <c r="C32" i="19"/>
  <c r="H32" i="19"/>
  <c r="R32" i="19"/>
  <c r="F32" i="19"/>
  <c r="F11" i="19"/>
  <c r="D11" i="19"/>
  <c r="Q11" i="19"/>
  <c r="E11" i="19"/>
  <c r="G11" i="19"/>
  <c r="R11" i="19"/>
  <c r="P11" i="19"/>
  <c r="C11" i="19"/>
  <c r="H11" i="19"/>
  <c r="C43" i="19"/>
  <c r="E43" i="19"/>
  <c r="Q43" i="19"/>
  <c r="F43" i="19"/>
  <c r="R43" i="19"/>
  <c r="D43" i="19"/>
  <c r="H43" i="19"/>
  <c r="G43" i="19"/>
  <c r="P43" i="19"/>
  <c r="D27" i="19"/>
  <c r="Q27" i="19"/>
  <c r="E27" i="19"/>
  <c r="R27" i="19"/>
  <c r="H27" i="19"/>
  <c r="F27" i="19"/>
  <c r="G27" i="19"/>
  <c r="C27" i="19"/>
  <c r="P27" i="19"/>
  <c r="E58" i="19"/>
  <c r="D58" i="19"/>
  <c r="P58" i="19"/>
  <c r="C58" i="19"/>
  <c r="G58" i="19"/>
  <c r="F58" i="19"/>
  <c r="R58" i="19"/>
  <c r="Q58" i="19"/>
  <c r="H58" i="19"/>
  <c r="G14" i="19"/>
  <c r="D14" i="19"/>
  <c r="R14" i="19"/>
  <c r="F14" i="19"/>
  <c r="P14" i="19"/>
  <c r="H14" i="19"/>
  <c r="Q14" i="19"/>
  <c r="C14" i="19"/>
  <c r="E14" i="19"/>
  <c r="R22" i="19"/>
  <c r="P22" i="19"/>
  <c r="F22" i="19"/>
  <c r="H22" i="19"/>
  <c r="D22" i="19"/>
  <c r="E22" i="19"/>
  <c r="G22" i="19"/>
  <c r="C22" i="19"/>
  <c r="Q22" i="19"/>
  <c r="Q41" i="19"/>
  <c r="R41" i="19"/>
  <c r="D41" i="19"/>
  <c r="F41" i="19"/>
  <c r="C41" i="19"/>
  <c r="H41" i="19"/>
  <c r="P41" i="19"/>
  <c r="G41" i="19"/>
  <c r="E41" i="19"/>
  <c r="H7" i="19"/>
  <c r="P7" i="19"/>
  <c r="Y14" i="2"/>
  <c r="AF34" i="2"/>
  <c r="R7" i="19"/>
  <c r="C7" i="19"/>
  <c r="G7" i="19"/>
  <c r="K14" i="2"/>
  <c r="R14" i="2"/>
  <c r="Q7" i="19"/>
  <c r="D7" i="19"/>
  <c r="AM14" i="2"/>
  <c r="BA24" i="2"/>
  <c r="Y24" i="2"/>
  <c r="AM24" i="2"/>
  <c r="Y34" i="2"/>
  <c r="AT24" i="2"/>
  <c r="E7" i="19"/>
  <c r="AT64" i="2"/>
  <c r="BA64" i="2"/>
  <c r="F7" i="19"/>
  <c r="BA34" i="2"/>
  <c r="AM54" i="2"/>
  <c r="AM44" i="2"/>
  <c r="AT34" i="2"/>
  <c r="R24" i="2"/>
  <c r="BA44" i="2"/>
  <c r="AF44" i="2"/>
  <c r="AT44" i="2"/>
  <c r="AT54" i="2"/>
  <c r="BA74" i="2"/>
  <c r="Y29" i="2"/>
  <c r="R9" i="2"/>
  <c r="BA69" i="2"/>
  <c r="AM49" i="2"/>
  <c r="BA59" i="2"/>
  <c r="Y19" i="2"/>
  <c r="AT59" i="2"/>
  <c r="BA29" i="2"/>
  <c r="BA49" i="2"/>
  <c r="AT49" i="2"/>
  <c r="R19" i="2"/>
  <c r="BA39" i="2"/>
  <c r="AF9" i="2"/>
  <c r="AM19" i="2"/>
  <c r="AF19" i="2"/>
  <c r="BA9" i="2"/>
  <c r="AM9" i="2"/>
  <c r="AM29" i="2"/>
  <c r="AM39" i="2"/>
  <c r="AT9" i="2"/>
  <c r="AF29" i="2"/>
  <c r="AF39" i="2"/>
  <c r="BA19" i="2"/>
  <c r="C52" i="19"/>
  <c r="AF24" i="2" s="1"/>
  <c r="Q52" i="19"/>
  <c r="D52" i="19"/>
  <c r="F52" i="19"/>
  <c r="E52" i="19"/>
  <c r="P52" i="19"/>
  <c r="G52" i="19"/>
  <c r="H52" i="19"/>
  <c r="R52" i="19"/>
  <c r="C39" i="19"/>
  <c r="AF14" i="2" s="1"/>
  <c r="F39" i="19"/>
  <c r="H39" i="19"/>
  <c r="G39" i="19"/>
  <c r="P39" i="19"/>
  <c r="Q39" i="19"/>
  <c r="R39" i="19"/>
  <c r="D39" i="19"/>
  <c r="E39" i="19"/>
  <c r="E31" i="19"/>
  <c r="F31" i="19"/>
  <c r="Q31" i="19"/>
  <c r="C31" i="19"/>
  <c r="K9" i="2" s="1"/>
  <c r="R31" i="19"/>
  <c r="G31" i="19"/>
  <c r="H31" i="19"/>
  <c r="P31" i="19"/>
  <c r="D31" i="19"/>
  <c r="D60" i="19"/>
  <c r="E60" i="19"/>
  <c r="H60" i="19"/>
  <c r="R60" i="19"/>
  <c r="P60" i="19"/>
  <c r="F60" i="19"/>
  <c r="G60" i="19"/>
  <c r="C60" i="19"/>
  <c r="BA54" i="2" s="1"/>
  <c r="Q60" i="19"/>
  <c r="F13" i="19"/>
  <c r="R13" i="19"/>
  <c r="P13" i="19"/>
  <c r="E13" i="19"/>
  <c r="Q13" i="19"/>
  <c r="C13" i="19"/>
  <c r="AT29" i="2" s="1"/>
  <c r="G13" i="19"/>
  <c r="H13" i="19"/>
  <c r="D13" i="19"/>
  <c r="Q15" i="19"/>
  <c r="H15" i="19"/>
  <c r="F15" i="19"/>
  <c r="D15" i="19"/>
  <c r="C15" i="19"/>
  <c r="Y9" i="2" s="1"/>
  <c r="E15" i="19"/>
  <c r="P15" i="19"/>
  <c r="R15" i="19"/>
  <c r="G15" i="19"/>
  <c r="G9" i="19"/>
  <c r="R9" i="19"/>
  <c r="D9" i="19"/>
  <c r="F9" i="19"/>
  <c r="C9" i="19"/>
  <c r="AT19" i="2" s="1"/>
  <c r="E9" i="19"/>
  <c r="H9" i="19"/>
  <c r="Q9" i="19"/>
  <c r="P9" i="19"/>
  <c r="C37" i="19"/>
  <c r="AM34" i="2" s="1"/>
  <c r="E37" i="19"/>
  <c r="H37" i="19"/>
  <c r="P37" i="19"/>
  <c r="G37" i="19"/>
  <c r="F37" i="19"/>
  <c r="D37" i="19"/>
  <c r="Q37" i="19"/>
  <c r="R37" i="19"/>
  <c r="H21" i="19"/>
  <c r="G21" i="19"/>
  <c r="C21" i="19"/>
  <c r="AT39" i="2" s="1"/>
  <c r="P21" i="19"/>
  <c r="D21" i="19"/>
  <c r="E21" i="19"/>
  <c r="Q21" i="19"/>
  <c r="F21" i="19"/>
  <c r="R21" i="19"/>
  <c r="C51" i="19"/>
  <c r="BA14" i="2" s="1"/>
  <c r="F51" i="19"/>
  <c r="D51" i="19"/>
  <c r="R51" i="19"/>
  <c r="H51" i="19"/>
  <c r="E51" i="19"/>
  <c r="Q51" i="19"/>
  <c r="G51" i="19"/>
  <c r="P51" i="19"/>
  <c r="H36" i="19"/>
  <c r="P36" i="19"/>
  <c r="C36" i="19"/>
  <c r="AT14" i="2" s="1"/>
  <c r="G36" i="19"/>
  <c r="E36" i="19"/>
  <c r="F36" i="19"/>
  <c r="R36" i="19"/>
  <c r="D36" i="19"/>
  <c r="Q36" i="19"/>
  <c r="AS15" i="2" l="1"/>
  <c r="C75" i="2" s="1"/>
  <c r="AU12" i="2"/>
  <c r="AV14" i="2"/>
  <c r="BB12" i="2"/>
  <c r="BC14" i="2"/>
  <c r="AZ15" i="2"/>
  <c r="C85" i="2" s="1"/>
  <c r="AV39" i="2"/>
  <c r="AU37" i="2"/>
  <c r="AS40" i="2"/>
  <c r="X70" i="2" s="1"/>
  <c r="AO34" i="2"/>
  <c r="AN32" i="2"/>
  <c r="AL35" i="2"/>
  <c r="Q65" i="2" s="1"/>
  <c r="AS20" i="2"/>
  <c r="J70" i="2" s="1"/>
  <c r="AV19" i="2"/>
  <c r="AU17" i="2"/>
  <c r="X10" i="2"/>
  <c r="C40" i="2" s="1"/>
  <c r="AA9" i="2"/>
  <c r="Z7" i="2"/>
  <c r="AS30" i="2"/>
  <c r="Q70" i="2" s="1"/>
  <c r="AV29" i="2"/>
  <c r="AU27" i="2"/>
  <c r="AZ55" i="2"/>
  <c r="AE85" i="2" s="1"/>
  <c r="BB52" i="2"/>
  <c r="BC54" i="2"/>
  <c r="M9" i="2"/>
  <c r="L7" i="2"/>
  <c r="J10" i="2"/>
  <c r="C20" i="2" s="1"/>
  <c r="AH14" i="2"/>
  <c r="AG12" i="2"/>
  <c r="AE15" i="2"/>
  <c r="C55" i="2" s="1"/>
  <c r="AE25" i="2"/>
  <c r="J55" i="2" s="1"/>
  <c r="AG22" i="2"/>
  <c r="AH24" i="2"/>
  <c r="BC19" i="2"/>
  <c r="BB17" i="2"/>
  <c r="AZ20" i="2"/>
  <c r="J80" i="2" s="1"/>
  <c r="AH39" i="2"/>
  <c r="AE40" i="2"/>
  <c r="X50" i="2" s="1"/>
  <c r="AG37" i="2"/>
  <c r="AG27" i="2"/>
  <c r="AH29" i="2"/>
  <c r="AE30" i="2"/>
  <c r="Q50" i="2" s="1"/>
  <c r="AS10" i="2"/>
  <c r="C70" i="2" s="1"/>
  <c r="AU7" i="2"/>
  <c r="AV9" i="2"/>
  <c r="AN37" i="2"/>
  <c r="AO39" i="2"/>
  <c r="AL40" i="2"/>
  <c r="X60" i="2" s="1"/>
  <c r="AN27" i="2"/>
  <c r="AL30" i="2"/>
  <c r="Q60" i="2" s="1"/>
  <c r="AO29" i="2"/>
  <c r="AN7" i="2"/>
  <c r="AO9" i="2"/>
  <c r="AL10" i="2"/>
  <c r="C60" i="2" s="1"/>
  <c r="AZ10" i="2"/>
  <c r="C80" i="2" s="1"/>
  <c r="BC9" i="2"/>
  <c r="BB7" i="2"/>
  <c r="AE20" i="2"/>
  <c r="J50" i="2" s="1"/>
  <c r="AG17" i="2"/>
  <c r="AH19" i="2"/>
  <c r="AN17" i="2"/>
  <c r="AO19" i="2"/>
  <c r="AL20" i="2"/>
  <c r="J60" i="2" s="1"/>
  <c r="AE10" i="2"/>
  <c r="C50" i="2" s="1"/>
  <c r="AH9" i="2"/>
  <c r="AG7" i="2"/>
  <c r="BC39" i="2"/>
  <c r="BB37" i="2"/>
  <c r="AZ40" i="2"/>
  <c r="X80" i="2" s="1"/>
  <c r="S17" i="2"/>
  <c r="Q20" i="2"/>
  <c r="J30" i="2" s="1"/>
  <c r="T19" i="2"/>
  <c r="AV49" i="2"/>
  <c r="AU47" i="2"/>
  <c r="AS50" i="2"/>
  <c r="AE70" i="2" s="1"/>
  <c r="BB47" i="2"/>
  <c r="BC49" i="2"/>
  <c r="AZ50" i="2"/>
  <c r="AE80" i="2" s="1"/>
  <c r="BC29" i="2"/>
  <c r="BB27" i="2"/>
  <c r="AZ30" i="2"/>
  <c r="Q80" i="2" s="1"/>
  <c r="AU57" i="2"/>
  <c r="AS60" i="2"/>
  <c r="AL70" i="2" s="1"/>
  <c r="AV59" i="2"/>
  <c r="AA19" i="2"/>
  <c r="X20" i="2"/>
  <c r="J40" i="2" s="1"/>
  <c r="Z17" i="2"/>
  <c r="AZ60" i="2"/>
  <c r="AL80" i="2" s="1"/>
  <c r="BB57" i="2"/>
  <c r="BC59" i="2"/>
  <c r="AO49" i="2"/>
  <c r="AN47" i="2"/>
  <c r="AL50" i="2"/>
  <c r="AE60" i="2" s="1"/>
  <c r="AZ70" i="2"/>
  <c r="AS80" i="2" s="1"/>
  <c r="BB67" i="2"/>
  <c r="BC69" i="2"/>
  <c r="T9" i="2"/>
  <c r="Q10" i="2"/>
  <c r="C30" i="2" s="1"/>
  <c r="S7" i="2"/>
  <c r="AA29" i="2"/>
  <c r="X30" i="2"/>
  <c r="Q40" i="2" s="1"/>
  <c r="Z27" i="2"/>
  <c r="BB72" i="2"/>
  <c r="BC74" i="2"/>
  <c r="AZ75" i="2"/>
  <c r="AS85" i="2" s="1"/>
  <c r="AS55" i="2"/>
  <c r="AE75" i="2" s="1"/>
  <c r="AV54" i="2"/>
  <c r="AU52" i="2"/>
  <c r="AS45" i="2"/>
  <c r="X75" i="2" s="1"/>
  <c r="AU42" i="2"/>
  <c r="AV44" i="2"/>
  <c r="AH44" i="2"/>
  <c r="AE45" i="2"/>
  <c r="X55" i="2" s="1"/>
  <c r="AG42" i="2"/>
  <c r="BB42" i="2"/>
  <c r="BC44" i="2"/>
  <c r="AZ45" i="2"/>
  <c r="X85" i="2" s="1"/>
  <c r="S22" i="2"/>
  <c r="T24" i="2"/>
  <c r="Q25" i="2"/>
  <c r="J35" i="2" s="1"/>
  <c r="AS35" i="2"/>
  <c r="Q75" i="2" s="1"/>
  <c r="AU32" i="2"/>
  <c r="AV34" i="2"/>
  <c r="AN42" i="2"/>
  <c r="AO44" i="2"/>
  <c r="AL45" i="2"/>
  <c r="X65" i="2" s="1"/>
  <c r="AO54" i="2"/>
  <c r="AN52" i="2"/>
  <c r="AL55" i="2"/>
  <c r="AE65" i="2" s="1"/>
  <c r="AZ35" i="2"/>
  <c r="Q85" i="2" s="1"/>
  <c r="BC34" i="2"/>
  <c r="BB32" i="2"/>
  <c r="BB62" i="2"/>
  <c r="BC64" i="2"/>
  <c r="AZ65" i="2"/>
  <c r="AL85" i="2" s="1"/>
  <c r="AS65" i="2"/>
  <c r="AL75" i="2" s="1"/>
  <c r="AV64" i="2"/>
  <c r="AU62" i="2"/>
  <c r="AU22" i="2"/>
  <c r="AV24" i="2"/>
  <c r="AS25" i="2"/>
  <c r="J75" i="2" s="1"/>
  <c r="X35" i="2"/>
  <c r="Q45" i="2" s="1"/>
  <c r="AA34" i="2"/>
  <c r="Z32" i="2"/>
  <c r="AO24" i="2"/>
  <c r="AN22" i="2"/>
  <c r="AL25" i="2"/>
  <c r="J65" i="2" s="1"/>
  <c r="Z22" i="2"/>
  <c r="AA24" i="2"/>
  <c r="X25" i="2"/>
  <c r="J45" i="2" s="1"/>
  <c r="BC24" i="2"/>
  <c r="AZ25" i="2"/>
  <c r="J85" i="2" s="1"/>
  <c r="BB22" i="2"/>
  <c r="AO14" i="2"/>
  <c r="AL15" i="2"/>
  <c r="C65" i="2" s="1"/>
  <c r="AN12" i="2"/>
  <c r="Q15" i="2"/>
  <c r="C35" i="2" s="1"/>
  <c r="T14" i="2"/>
  <c r="S12" i="2"/>
  <c r="M14" i="2"/>
  <c r="J15" i="2"/>
  <c r="C25" i="2" s="1"/>
  <c r="L12" i="2"/>
  <c r="AG32" i="2"/>
  <c r="AE35" i="2"/>
  <c r="Q55" i="2" s="1"/>
  <c r="AH34" i="2"/>
  <c r="AA14" i="2"/>
  <c r="Z12" i="2"/>
  <c r="X15" i="2"/>
  <c r="C45" i="2" s="1"/>
  <c r="D44" i="2" l="1"/>
  <c r="F44" i="2"/>
  <c r="G42" i="2"/>
  <c r="AB12" i="2"/>
  <c r="X11" i="2"/>
  <c r="Z13" i="2"/>
  <c r="AB11" i="2"/>
  <c r="T54" i="2"/>
  <c r="R54" i="2"/>
  <c r="AE31" i="2"/>
  <c r="AG33" i="2"/>
  <c r="AI31" i="2"/>
  <c r="U52" i="2"/>
  <c r="AI32" i="2"/>
  <c r="J11" i="2"/>
  <c r="L13" i="2"/>
  <c r="G22" i="2"/>
  <c r="N12" i="2"/>
  <c r="N11" i="2"/>
  <c r="F24" i="2"/>
  <c r="D24" i="2"/>
  <c r="U11" i="2"/>
  <c r="G32" i="2"/>
  <c r="Q11" i="2"/>
  <c r="S13" i="2"/>
  <c r="U12" i="2"/>
  <c r="D34" i="2"/>
  <c r="F34" i="2"/>
  <c r="AP11" i="2"/>
  <c r="AN13" i="2"/>
  <c r="G62" i="2"/>
  <c r="AP12" i="2"/>
  <c r="AL11" i="2"/>
  <c r="D64" i="2"/>
  <c r="F64" i="2"/>
  <c r="BD22" i="2"/>
  <c r="AZ21" i="2"/>
  <c r="BD21" i="2"/>
  <c r="N82" i="2"/>
  <c r="BB23" i="2"/>
  <c r="K84" i="2"/>
  <c r="M84" i="2"/>
  <c r="M44" i="2"/>
  <c r="K44" i="2"/>
  <c r="N42" i="2"/>
  <c r="AB21" i="2"/>
  <c r="AB22" i="2"/>
  <c r="X21" i="2"/>
  <c r="Z23" i="2"/>
  <c r="K64" i="2"/>
  <c r="M64" i="2"/>
  <c r="AP22" i="2"/>
  <c r="N62" i="2"/>
  <c r="AP21" i="2"/>
  <c r="AL21" i="2"/>
  <c r="AN23" i="2"/>
  <c r="U42" i="2"/>
  <c r="X31" i="2"/>
  <c r="Z33" i="2"/>
  <c r="AB32" i="2"/>
  <c r="AB31" i="2"/>
  <c r="T44" i="2"/>
  <c r="R44" i="2"/>
  <c r="K74" i="2"/>
  <c r="M74" i="2"/>
  <c r="AS21" i="2"/>
  <c r="N72" i="2"/>
  <c r="AU23" i="2"/>
  <c r="AW22" i="2"/>
  <c r="AW21" i="2"/>
  <c r="AW62" i="2"/>
  <c r="AS61" i="2"/>
  <c r="AU63" i="2"/>
  <c r="AW61" i="2"/>
  <c r="AP72" i="2"/>
  <c r="AO74" i="2"/>
  <c r="AM74" i="2"/>
  <c r="AM84" i="2"/>
  <c r="AO84" i="2"/>
  <c r="BD61" i="2"/>
  <c r="BD62" i="2"/>
  <c r="AZ61" i="2"/>
  <c r="BB63" i="2"/>
  <c r="AP82" i="2"/>
  <c r="AZ31" i="2"/>
  <c r="U82" i="2"/>
  <c r="BD32" i="2"/>
  <c r="BD31" i="2"/>
  <c r="BB33" i="2"/>
  <c r="T84" i="2"/>
  <c r="R84" i="2"/>
  <c r="AH64" i="2"/>
  <c r="AF64" i="2"/>
  <c r="AI62" i="2"/>
  <c r="AL51" i="2"/>
  <c r="AP52" i="2"/>
  <c r="AP51" i="2"/>
  <c r="AN53" i="2"/>
  <c r="AA64" i="2"/>
  <c r="Y64" i="2"/>
  <c r="AP42" i="2"/>
  <c r="AB62" i="2"/>
  <c r="AP41" i="2"/>
  <c r="AL41" i="2"/>
  <c r="AN43" i="2"/>
  <c r="AW32" i="2"/>
  <c r="AW31" i="2"/>
  <c r="AU33" i="2"/>
  <c r="U72" i="2"/>
  <c r="AS31" i="2"/>
  <c r="T74" i="2"/>
  <c r="R74" i="2"/>
  <c r="K34" i="2"/>
  <c r="M34" i="2"/>
  <c r="N32" i="2"/>
  <c r="S23" i="2"/>
  <c r="U22" i="2"/>
  <c r="Q21" i="2"/>
  <c r="U21" i="2"/>
  <c r="AA84" i="2"/>
  <c r="Y84" i="2"/>
  <c r="AZ41" i="2"/>
  <c r="BD41" i="2"/>
  <c r="AB82" i="2"/>
  <c r="BD42" i="2"/>
  <c r="BB43" i="2"/>
  <c r="AI41" i="2"/>
  <c r="AB52" i="2"/>
  <c r="AI42" i="2"/>
  <c r="AG43" i="2"/>
  <c r="AE41" i="2"/>
  <c r="Y54" i="2"/>
  <c r="AA54" i="2"/>
  <c r="AW41" i="2"/>
  <c r="AS41" i="2"/>
  <c r="AB72" i="2"/>
  <c r="AU43" i="2"/>
  <c r="AW42" i="2"/>
  <c r="Y74" i="2"/>
  <c r="AA74" i="2"/>
  <c r="AW51" i="2"/>
  <c r="AI72" i="2"/>
  <c r="AS51" i="2"/>
  <c r="AU53" i="2"/>
  <c r="AW52" i="2"/>
  <c r="AH74" i="2"/>
  <c r="AF74" i="2"/>
  <c r="AT84" i="2"/>
  <c r="AV84" i="2"/>
  <c r="BD72" i="2"/>
  <c r="BD71" i="2"/>
  <c r="AW82" i="2"/>
  <c r="BB73" i="2"/>
  <c r="AZ71" i="2"/>
  <c r="X26" i="2"/>
  <c r="Z28" i="2"/>
  <c r="AB27" i="2"/>
  <c r="AB26" i="2"/>
  <c r="U37" i="2"/>
  <c r="R39" i="2"/>
  <c r="T39" i="2"/>
  <c r="G27" i="2"/>
  <c r="Q6" i="2"/>
  <c r="S8" i="2"/>
  <c r="U6" i="2"/>
  <c r="U7" i="2"/>
  <c r="D29" i="2"/>
  <c r="F29" i="2"/>
  <c r="BD66" i="2"/>
  <c r="AW77" i="2"/>
  <c r="BD67" i="2"/>
  <c r="AZ66" i="2"/>
  <c r="BB68" i="2"/>
  <c r="AV79" i="2"/>
  <c r="AT79" i="2"/>
  <c r="AH59" i="2"/>
  <c r="AF59" i="2"/>
  <c r="AI57" i="2"/>
  <c r="AL46" i="2"/>
  <c r="AN48" i="2"/>
  <c r="AP47" i="2"/>
  <c r="AP46" i="2"/>
  <c r="BD57" i="2"/>
  <c r="BD56" i="2"/>
  <c r="AP77" i="2"/>
  <c r="AZ56" i="2"/>
  <c r="BB58" i="2"/>
  <c r="AO79" i="2"/>
  <c r="AM79" i="2"/>
  <c r="AB17" i="2"/>
  <c r="AB16" i="2"/>
  <c r="X16" i="2"/>
  <c r="Z18" i="2"/>
  <c r="N37" i="2"/>
  <c r="K39" i="2"/>
  <c r="M39" i="2"/>
  <c r="AM69" i="2"/>
  <c r="AO69" i="2"/>
  <c r="AP67" i="2"/>
  <c r="AS56" i="2"/>
  <c r="AU58" i="2"/>
  <c r="AW56" i="2"/>
  <c r="AW57" i="2"/>
  <c r="T79" i="2"/>
  <c r="R79" i="2"/>
  <c r="U77" i="2"/>
  <c r="AZ26" i="2"/>
  <c r="BB28" i="2"/>
  <c r="BD26" i="2"/>
  <c r="BD27" i="2"/>
  <c r="AH79" i="2"/>
  <c r="AF79" i="2"/>
  <c r="AI77" i="2"/>
  <c r="AZ46" i="2"/>
  <c r="BB48" i="2"/>
  <c r="BD46" i="2"/>
  <c r="BD47" i="2"/>
  <c r="AF69" i="2"/>
  <c r="AH69" i="2"/>
  <c r="AI67" i="2"/>
  <c r="AW47" i="2"/>
  <c r="AS46" i="2"/>
  <c r="AU48" i="2"/>
  <c r="AW46" i="2"/>
  <c r="K29" i="2"/>
  <c r="M29" i="2"/>
  <c r="U16" i="2"/>
  <c r="N27" i="2"/>
  <c r="Q16" i="2"/>
  <c r="S18" i="2"/>
  <c r="U17" i="2"/>
  <c r="Y79" i="2"/>
  <c r="AA79" i="2"/>
  <c r="AZ36" i="2"/>
  <c r="BB38" i="2"/>
  <c r="BD36" i="2"/>
  <c r="BD37" i="2"/>
  <c r="AB77" i="2"/>
  <c r="G47" i="2"/>
  <c r="AE6" i="2"/>
  <c r="AG8" i="2"/>
  <c r="AI6" i="2"/>
  <c r="AI7" i="2"/>
  <c r="F49" i="2"/>
  <c r="D49" i="2"/>
  <c r="M59" i="2"/>
  <c r="K59" i="2"/>
  <c r="N57" i="2"/>
  <c r="AP17" i="2"/>
  <c r="AP16" i="2"/>
  <c r="AL16" i="2"/>
  <c r="AN18" i="2"/>
  <c r="N47" i="2"/>
  <c r="AI17" i="2"/>
  <c r="AE16" i="2"/>
  <c r="AG18" i="2"/>
  <c r="AI16" i="2"/>
  <c r="M49" i="2"/>
  <c r="K49" i="2"/>
  <c r="BD6" i="2"/>
  <c r="G77" i="2"/>
  <c r="AZ6" i="2"/>
  <c r="BB8" i="2"/>
  <c r="BD7" i="2"/>
  <c r="F79" i="2"/>
  <c r="D79" i="2"/>
  <c r="D59" i="2"/>
  <c r="F59" i="2"/>
  <c r="AL6" i="2"/>
  <c r="AN8" i="2"/>
  <c r="AP6" i="2"/>
  <c r="G57" i="2"/>
  <c r="AP7" i="2"/>
  <c r="R59" i="2"/>
  <c r="T59" i="2"/>
  <c r="AP27" i="2"/>
  <c r="AP26" i="2"/>
  <c r="AL26" i="2"/>
  <c r="AN28" i="2"/>
  <c r="U57" i="2"/>
  <c r="Y59" i="2"/>
  <c r="AA59" i="2"/>
  <c r="AL36" i="2"/>
  <c r="AN38" i="2"/>
  <c r="AP37" i="2"/>
  <c r="AB57" i="2"/>
  <c r="AP36" i="2"/>
  <c r="AW6" i="2"/>
  <c r="AS6" i="2"/>
  <c r="AU8" i="2"/>
  <c r="AW7" i="2"/>
  <c r="G67" i="2"/>
  <c r="F69" i="2"/>
  <c r="D69" i="2"/>
  <c r="R49" i="2"/>
  <c r="T49" i="2"/>
  <c r="AI27" i="2"/>
  <c r="U47" i="2"/>
  <c r="AI26" i="2"/>
  <c r="AE26" i="2"/>
  <c r="AG28" i="2"/>
  <c r="AB47" i="2"/>
  <c r="AI36" i="2"/>
  <c r="AI37" i="2"/>
  <c r="AE36" i="2"/>
  <c r="AG38" i="2"/>
  <c r="Y49" i="2"/>
  <c r="AA49" i="2"/>
  <c r="M79" i="2"/>
  <c r="K79" i="2"/>
  <c r="N77" i="2"/>
  <c r="AZ16" i="2"/>
  <c r="BB18" i="2"/>
  <c r="BD17" i="2"/>
  <c r="BD16" i="2"/>
  <c r="AI22" i="2"/>
  <c r="AG23" i="2"/>
  <c r="AI21" i="2"/>
  <c r="N52" i="2"/>
  <c r="AE21" i="2"/>
  <c r="M54" i="2"/>
  <c r="K54" i="2"/>
  <c r="D54" i="2"/>
  <c r="F54" i="2"/>
  <c r="G52" i="2"/>
  <c r="AE11" i="2"/>
  <c r="AI11" i="2"/>
  <c r="AG13" i="2"/>
  <c r="AI12" i="2"/>
  <c r="D19" i="2"/>
  <c r="F19" i="2"/>
  <c r="N7" i="2"/>
  <c r="G17" i="2"/>
  <c r="N6" i="2"/>
  <c r="J6" i="2"/>
  <c r="L8" i="2"/>
  <c r="BD51" i="2"/>
  <c r="AI82" i="2"/>
  <c r="AZ51" i="2"/>
  <c r="BD52" i="2"/>
  <c r="BB53" i="2"/>
  <c r="AH84" i="2"/>
  <c r="AF84" i="2"/>
  <c r="AS26" i="2"/>
  <c r="AU28" i="2"/>
  <c r="AW27" i="2"/>
  <c r="AW26" i="2"/>
  <c r="U67" i="2"/>
  <c r="R69" i="2"/>
  <c r="T69" i="2"/>
  <c r="AB6" i="2"/>
  <c r="AB7" i="2"/>
  <c r="G37" i="2"/>
  <c r="X6" i="2"/>
  <c r="Z8" i="2"/>
  <c r="D39" i="2"/>
  <c r="F39" i="2"/>
  <c r="AW17" i="2"/>
  <c r="N67" i="2"/>
  <c r="AS16" i="2"/>
  <c r="AU18" i="2"/>
  <c r="AW16" i="2"/>
  <c r="M69" i="2"/>
  <c r="K69" i="2"/>
  <c r="R64" i="2"/>
  <c r="T64" i="2"/>
  <c r="U62" i="2"/>
  <c r="AL31" i="2"/>
  <c r="AN33" i="2"/>
  <c r="AP32" i="2"/>
  <c r="AP31" i="2"/>
  <c r="AA69" i="2"/>
  <c r="Y69" i="2"/>
  <c r="AW37" i="2"/>
  <c r="AS36" i="2"/>
  <c r="AU38" i="2"/>
  <c r="AW36" i="2"/>
  <c r="AB67" i="2"/>
  <c r="F84" i="2"/>
  <c r="D84" i="2"/>
  <c r="BD11" i="2"/>
  <c r="AZ11" i="2"/>
  <c r="BD12" i="2"/>
  <c r="BB13" i="2"/>
  <c r="G82" i="2"/>
  <c r="AS11" i="2"/>
  <c r="AU13" i="2"/>
  <c r="G72" i="2"/>
  <c r="AW12" i="2"/>
  <c r="AW11" i="2"/>
  <c r="F74" i="2"/>
  <c r="D74" i="2"/>
  <c r="AW13" i="2" l="1"/>
  <c r="E73" i="2" s="1"/>
  <c r="E72" i="2"/>
  <c r="G73" i="2"/>
  <c r="G71" i="2" s="1"/>
  <c r="AV11" i="2"/>
  <c r="G83" i="2"/>
  <c r="G81" i="2" s="1"/>
  <c r="BC11" i="2"/>
  <c r="E82" i="2"/>
  <c r="BD13" i="2"/>
  <c r="E83" i="2" s="1"/>
  <c r="AV36" i="2"/>
  <c r="AB68" i="2"/>
  <c r="AB66" i="2" s="1"/>
  <c r="Z67" i="2"/>
  <c r="AW38" i="2"/>
  <c r="Z68" i="2" s="1"/>
  <c r="S62" i="2"/>
  <c r="AP33" i="2"/>
  <c r="S63" i="2" s="1"/>
  <c r="AO31" i="2"/>
  <c r="U63" i="2"/>
  <c r="U61" i="2" s="1"/>
  <c r="N68" i="2"/>
  <c r="N66" i="2" s="1"/>
  <c r="AV16" i="2"/>
  <c r="AW18" i="2"/>
  <c r="L68" i="2" s="1"/>
  <c r="L67" i="2"/>
  <c r="G38" i="2"/>
  <c r="G36" i="2" s="1"/>
  <c r="AA6" i="2"/>
  <c r="E37" i="2"/>
  <c r="AB8" i="2"/>
  <c r="E38" i="2" s="1"/>
  <c r="S67" i="2"/>
  <c r="AW28" i="2"/>
  <c r="S68" i="2" s="1"/>
  <c r="U68" i="2"/>
  <c r="U66" i="2" s="1"/>
  <c r="AV26" i="2"/>
  <c r="BC51" i="2"/>
  <c r="AI83" i="2"/>
  <c r="AI81" i="2" s="1"/>
  <c r="AG82" i="2"/>
  <c r="BD53" i="2"/>
  <c r="AG83" i="2" s="1"/>
  <c r="M6" i="2"/>
  <c r="G18" i="2"/>
  <c r="G16" i="2" s="1"/>
  <c r="N8" i="2"/>
  <c r="E18" i="2" s="1"/>
  <c r="E17" i="2"/>
  <c r="AI13" i="2"/>
  <c r="E53" i="2" s="1"/>
  <c r="E52" i="2"/>
  <c r="AH11" i="2"/>
  <c r="G53" i="2"/>
  <c r="G51" i="2" s="1"/>
  <c r="AH21" i="2"/>
  <c r="N53" i="2"/>
  <c r="N51" i="2" s="1"/>
  <c r="L52" i="2"/>
  <c r="AI23" i="2"/>
  <c r="L53" i="2" s="1"/>
  <c r="L77" i="2"/>
  <c r="BD18" i="2"/>
  <c r="L78" i="2" s="1"/>
  <c r="N78" i="2"/>
  <c r="N76" i="2" s="1"/>
  <c r="BC16" i="2"/>
  <c r="AB48" i="2"/>
  <c r="AB46" i="2" s="1"/>
  <c r="AH36" i="2"/>
  <c r="Z47" i="2"/>
  <c r="AI38" i="2"/>
  <c r="Z48" i="2" s="1"/>
  <c r="U48" i="2"/>
  <c r="U46" i="2" s="1"/>
  <c r="AH26" i="2"/>
  <c r="S47" i="2"/>
  <c r="AI28" i="2"/>
  <c r="S48" i="2" s="1"/>
  <c r="AW8" i="2"/>
  <c r="E68" i="2" s="1"/>
  <c r="E67" i="2"/>
  <c r="G68" i="2"/>
  <c r="G66" i="2" s="1"/>
  <c r="AV6" i="2"/>
  <c r="Z57" i="2"/>
  <c r="AP38" i="2"/>
  <c r="Z58" i="2" s="1"/>
  <c r="AB58" i="2"/>
  <c r="AB56" i="2" s="1"/>
  <c r="AO36" i="2"/>
  <c r="U58" i="2"/>
  <c r="U56" i="2" s="1"/>
  <c r="AO26" i="2"/>
  <c r="AP28" i="2"/>
  <c r="S58" i="2" s="1"/>
  <c r="S57" i="2"/>
  <c r="AP8" i="2"/>
  <c r="E58" i="2" s="1"/>
  <c r="E57" i="2"/>
  <c r="G58" i="2"/>
  <c r="G56" i="2" s="1"/>
  <c r="AO6" i="2"/>
  <c r="BD8" i="2"/>
  <c r="E78" i="2" s="1"/>
  <c r="E77" i="2"/>
  <c r="G78" i="2"/>
  <c r="G76" i="2" s="1"/>
  <c r="BC6" i="2"/>
  <c r="N48" i="2"/>
  <c r="N46" i="2" s="1"/>
  <c r="AH16" i="2"/>
  <c r="L47" i="2"/>
  <c r="AI18" i="2"/>
  <c r="L48" i="2" s="1"/>
  <c r="N58" i="2"/>
  <c r="N56" i="2" s="1"/>
  <c r="AO16" i="2"/>
  <c r="L57" i="2"/>
  <c r="AP18" i="2"/>
  <c r="L58" i="2" s="1"/>
  <c r="E47" i="2"/>
  <c r="AI8" i="2"/>
  <c r="E48" i="2" s="1"/>
  <c r="AH6" i="2"/>
  <c r="G48" i="2"/>
  <c r="G46" i="2" s="1"/>
  <c r="Z77" i="2"/>
  <c r="BD38" i="2"/>
  <c r="Z78" i="2" s="1"/>
  <c r="AB78" i="2"/>
  <c r="AB76" i="2" s="1"/>
  <c r="BC36" i="2"/>
  <c r="L27" i="2"/>
  <c r="U18" i="2"/>
  <c r="L28" i="2" s="1"/>
  <c r="T16" i="2"/>
  <c r="N28" i="2"/>
  <c r="N26" i="2" s="1"/>
  <c r="AI68" i="2"/>
  <c r="AI66" i="2" s="1"/>
  <c r="AV46" i="2"/>
  <c r="AG67" i="2"/>
  <c r="AW48" i="2"/>
  <c r="AG68" i="2" s="1"/>
  <c r="BD48" i="2"/>
  <c r="AG78" i="2" s="1"/>
  <c r="AG77" i="2"/>
  <c r="BC46" i="2"/>
  <c r="AI78" i="2"/>
  <c r="AI76" i="2" s="1"/>
  <c r="BD28" i="2"/>
  <c r="S78" i="2" s="1"/>
  <c r="S77" i="2"/>
  <c r="U78" i="2"/>
  <c r="U76" i="2" s="1"/>
  <c r="BC26" i="2"/>
  <c r="AN67" i="2"/>
  <c r="AW58" i="2"/>
  <c r="AN68" i="2" s="1"/>
  <c r="AP68" i="2"/>
  <c r="AP66" i="2" s="1"/>
  <c r="AV56" i="2"/>
  <c r="N38" i="2"/>
  <c r="N36" i="2" s="1"/>
  <c r="AA16" i="2"/>
  <c r="L37" i="2"/>
  <c r="AB18" i="2"/>
  <c r="L38" i="2" s="1"/>
  <c r="AP78" i="2"/>
  <c r="AP76" i="2" s="1"/>
  <c r="BC56" i="2"/>
  <c r="AN77" i="2"/>
  <c r="BD58" i="2"/>
  <c r="AN78" i="2" s="1"/>
  <c r="AP48" i="2"/>
  <c r="AG58" i="2" s="1"/>
  <c r="AG57" i="2"/>
  <c r="AO46" i="2"/>
  <c r="AI58" i="2"/>
  <c r="AI56" i="2" s="1"/>
  <c r="AW78" i="2"/>
  <c r="AW76" i="2" s="1"/>
  <c r="BC66" i="2"/>
  <c r="AU77" i="2"/>
  <c r="BD68" i="2"/>
  <c r="AU78" i="2" s="1"/>
  <c r="U8" i="2"/>
  <c r="E28" i="2" s="1"/>
  <c r="E27" i="2"/>
  <c r="T6" i="2"/>
  <c r="G28" i="2"/>
  <c r="G26" i="2" s="1"/>
  <c r="AB28" i="2"/>
  <c r="S38" i="2" s="1"/>
  <c r="S37" i="2"/>
  <c r="AA26" i="2"/>
  <c r="U38" i="2"/>
  <c r="U36" i="2" s="1"/>
  <c r="BC71" i="2"/>
  <c r="AW83" i="2"/>
  <c r="AW81" i="2" s="1"/>
  <c r="AU82" i="2"/>
  <c r="BD73" i="2"/>
  <c r="AU83" i="2" s="1"/>
  <c r="AW53" i="2"/>
  <c r="AG73" i="2" s="1"/>
  <c r="AG72" i="2"/>
  <c r="AV51" i="2"/>
  <c r="AI73" i="2"/>
  <c r="AI71" i="2" s="1"/>
  <c r="AW43" i="2"/>
  <c r="Z73" i="2" s="1"/>
  <c r="Z72" i="2"/>
  <c r="AV41" i="2"/>
  <c r="AB73" i="2"/>
  <c r="AB71" i="2" s="1"/>
  <c r="AH41" i="2"/>
  <c r="AB53" i="2"/>
  <c r="AB51" i="2" s="1"/>
  <c r="AI43" i="2"/>
  <c r="Z53" i="2" s="1"/>
  <c r="Z52" i="2"/>
  <c r="AB83" i="2"/>
  <c r="AB81" i="2" s="1"/>
  <c r="BC41" i="2"/>
  <c r="Z82" i="2"/>
  <c r="BD43" i="2"/>
  <c r="Z83" i="2" s="1"/>
  <c r="U23" i="2"/>
  <c r="L33" i="2" s="1"/>
  <c r="L32" i="2"/>
  <c r="N33" i="2"/>
  <c r="N31" i="2" s="1"/>
  <c r="T21" i="2"/>
  <c r="AV31" i="2"/>
  <c r="U73" i="2"/>
  <c r="U71" i="2" s="1"/>
  <c r="AW33" i="2"/>
  <c r="S73" i="2" s="1"/>
  <c r="S72" i="2"/>
  <c r="AO41" i="2"/>
  <c r="AB63" i="2"/>
  <c r="AB61" i="2" s="1"/>
  <c r="AP43" i="2"/>
  <c r="Z63" i="2" s="1"/>
  <c r="Z62" i="2"/>
  <c r="AI63" i="2"/>
  <c r="AI61" i="2" s="1"/>
  <c r="AO51" i="2"/>
  <c r="AP53" i="2"/>
  <c r="AG63" i="2" s="1"/>
  <c r="AG62" i="2"/>
  <c r="U83" i="2"/>
  <c r="U81" i="2" s="1"/>
  <c r="BC31" i="2"/>
  <c r="S82" i="2"/>
  <c r="BD33" i="2"/>
  <c r="S83" i="2" s="1"/>
  <c r="AP83" i="2"/>
  <c r="AP81" i="2" s="1"/>
  <c r="BC61" i="2"/>
  <c r="AN82" i="2"/>
  <c r="BD63" i="2"/>
  <c r="AN83" i="2" s="1"/>
  <c r="AV61" i="2"/>
  <c r="AP73" i="2"/>
  <c r="AP71" i="2" s="1"/>
  <c r="AN72" i="2"/>
  <c r="AW63" i="2"/>
  <c r="AN73" i="2" s="1"/>
  <c r="AW23" i="2"/>
  <c r="L73" i="2" s="1"/>
  <c r="L72" i="2"/>
  <c r="N73" i="2"/>
  <c r="N71" i="2" s="1"/>
  <c r="AV21" i="2"/>
  <c r="AB33" i="2"/>
  <c r="S43" i="2" s="1"/>
  <c r="S42" i="2"/>
  <c r="U43" i="2"/>
  <c r="U41" i="2" s="1"/>
  <c r="AA31" i="2"/>
  <c r="N63" i="2"/>
  <c r="N61" i="2" s="1"/>
  <c r="AO21" i="2"/>
  <c r="AP23" i="2"/>
  <c r="L63" i="2" s="1"/>
  <c r="L62" i="2"/>
  <c r="N43" i="2"/>
  <c r="N41" i="2" s="1"/>
  <c r="AA21" i="2"/>
  <c r="L42" i="2"/>
  <c r="AB23" i="2"/>
  <c r="L43" i="2" s="1"/>
  <c r="BC21" i="2"/>
  <c r="N83" i="2"/>
  <c r="N81" i="2" s="1"/>
  <c r="BD23" i="2"/>
  <c r="L83" i="2" s="1"/>
  <c r="L82" i="2"/>
  <c r="E62" i="2"/>
  <c r="AP13" i="2"/>
  <c r="E63" i="2" s="1"/>
  <c r="G63" i="2"/>
  <c r="G61" i="2" s="1"/>
  <c r="AO11" i="2"/>
  <c r="U13" i="2"/>
  <c r="E33" i="2" s="1"/>
  <c r="E32" i="2"/>
  <c r="G33" i="2"/>
  <c r="G31" i="2" s="1"/>
  <c r="T11" i="2"/>
  <c r="E22" i="2"/>
  <c r="N13" i="2"/>
  <c r="E23" i="2" s="1"/>
  <c r="G23" i="2"/>
  <c r="G21" i="2" s="1"/>
  <c r="M11" i="2"/>
  <c r="S52" i="2"/>
  <c r="AI33" i="2"/>
  <c r="S53" i="2" s="1"/>
  <c r="AH31" i="2"/>
  <c r="U53" i="2"/>
  <c r="U51" i="2" s="1"/>
  <c r="AA11" i="2"/>
  <c r="G43" i="2"/>
  <c r="G41" i="2" s="1"/>
  <c r="E42" i="2"/>
  <c r="AB13" i="2"/>
  <c r="E43" i="2" s="1"/>
  <c r="C41" i="2" l="1"/>
  <c r="F41" i="2"/>
  <c r="Q51" i="2"/>
  <c r="T51" i="2"/>
  <c r="C21" i="2"/>
  <c r="F21" i="2"/>
  <c r="F31" i="2"/>
  <c r="C31" i="2"/>
  <c r="F61" i="2"/>
  <c r="C61" i="2"/>
  <c r="J81" i="2"/>
  <c r="M81" i="2"/>
  <c r="J41" i="2"/>
  <c r="M41" i="2"/>
  <c r="J61" i="2"/>
  <c r="M61" i="2"/>
  <c r="Q41" i="2"/>
  <c r="T41" i="2"/>
  <c r="J71" i="2"/>
  <c r="M71" i="2"/>
  <c r="AL71" i="2"/>
  <c r="AO71" i="2"/>
  <c r="AL81" i="2"/>
  <c r="AO81" i="2"/>
  <c r="Q81" i="2"/>
  <c r="T81" i="2"/>
  <c r="AE61" i="2"/>
  <c r="AH61" i="2"/>
  <c r="X61" i="2"/>
  <c r="AA61" i="2"/>
  <c r="Q71" i="2"/>
  <c r="T71" i="2"/>
  <c r="M31" i="2"/>
  <c r="J31" i="2"/>
  <c r="X81" i="2"/>
  <c r="AA81" i="2"/>
  <c r="X51" i="2"/>
  <c r="AA51" i="2"/>
  <c r="X71" i="2"/>
  <c r="AA71" i="2"/>
  <c r="AE71" i="2"/>
  <c r="AH71" i="2"/>
  <c r="AS81" i="2"/>
  <c r="AV81" i="2"/>
  <c r="Q36" i="2"/>
  <c r="T36" i="2"/>
  <c r="C26" i="2"/>
  <c r="F26" i="2"/>
  <c r="AS76" i="2"/>
  <c r="AV76" i="2"/>
  <c r="AE56" i="2"/>
  <c r="AH56" i="2"/>
  <c r="AL76" i="2"/>
  <c r="AO76" i="2"/>
  <c r="J36" i="2"/>
  <c r="M36" i="2"/>
  <c r="AL66" i="2"/>
  <c r="AO66" i="2"/>
  <c r="Q76" i="2"/>
  <c r="T76" i="2"/>
  <c r="AE76" i="2"/>
  <c r="AH76" i="2"/>
  <c r="AE66" i="2"/>
  <c r="AH66" i="2"/>
  <c r="J26" i="2"/>
  <c r="M26" i="2"/>
  <c r="X76" i="2"/>
  <c r="AA76" i="2"/>
  <c r="C46" i="2"/>
  <c r="F46" i="2"/>
  <c r="J56" i="2"/>
  <c r="M56" i="2"/>
  <c r="J46" i="2"/>
  <c r="M46" i="2"/>
  <c r="BG76" i="2"/>
  <c r="C76" i="2"/>
  <c r="F76" i="2"/>
  <c r="BG56" i="2"/>
  <c r="C56" i="2"/>
  <c r="F56" i="2"/>
  <c r="Q56" i="2"/>
  <c r="T56" i="2"/>
  <c r="X56" i="2"/>
  <c r="AA56" i="2"/>
  <c r="BG66" i="2"/>
  <c r="C66" i="2"/>
  <c r="F66" i="2"/>
  <c r="Q46" i="2"/>
  <c r="T46" i="2"/>
  <c r="X46" i="2"/>
  <c r="AA46" i="2"/>
  <c r="J76" i="2"/>
  <c r="M76" i="2"/>
  <c r="M51" i="2"/>
  <c r="J51" i="2"/>
  <c r="C51" i="2"/>
  <c r="F51" i="2"/>
  <c r="C16" i="2"/>
  <c r="F16" i="2"/>
  <c r="AE81" i="2"/>
  <c r="AH81" i="2"/>
  <c r="BG46" i="2" s="1"/>
  <c r="Q66" i="2"/>
  <c r="T66" i="2"/>
  <c r="C36" i="2"/>
  <c r="F36" i="2"/>
  <c r="J66" i="2"/>
  <c r="M66" i="2"/>
  <c r="BG16" i="2" s="1"/>
  <c r="Q61" i="2"/>
  <c r="T61" i="2"/>
  <c r="X66" i="2"/>
  <c r="AA66" i="2"/>
  <c r="BG36" i="2" s="1"/>
  <c r="F81" i="2"/>
  <c r="C81" i="2"/>
  <c r="C71" i="2"/>
  <c r="F71" i="2"/>
  <c r="BH36" i="2" l="1"/>
  <c r="BI36" i="2"/>
  <c r="BJ36" i="2"/>
  <c r="BO36" i="2"/>
  <c r="BL36" i="2"/>
  <c r="BI16" i="2"/>
  <c r="BH16" i="2"/>
  <c r="BJ16" i="2"/>
  <c r="BO16" i="2"/>
  <c r="BL16" i="2"/>
  <c r="BI46" i="2"/>
  <c r="BH46" i="2"/>
  <c r="BJ46" i="2"/>
  <c r="BL46" i="2"/>
  <c r="BO46" i="2"/>
  <c r="BG6" i="2"/>
  <c r="BG26" i="2"/>
  <c r="BH66" i="2"/>
  <c r="BI66" i="2"/>
  <c r="BJ66" i="2"/>
  <c r="BO66" i="2"/>
  <c r="BL66" i="2"/>
  <c r="BH56" i="2"/>
  <c r="BI56" i="2"/>
  <c r="BJ56" i="2"/>
  <c r="BO56" i="2"/>
  <c r="BL56" i="2"/>
  <c r="BH76" i="2"/>
  <c r="BI76" i="2"/>
  <c r="BJ76" i="2"/>
  <c r="BO76" i="2"/>
  <c r="BL76" i="2"/>
  <c r="BH26" i="2" l="1"/>
  <c r="BI26" i="2"/>
  <c r="BJ26" i="2"/>
  <c r="BO26" i="2"/>
  <c r="BL26" i="2"/>
  <c r="BI6" i="2"/>
  <c r="BI86" i="2" s="1"/>
  <c r="BH6" i="2"/>
  <c r="BH86" i="2" s="1"/>
  <c r="BJ6" i="2"/>
  <c r="BJ86" i="2" s="1"/>
  <c r="BL6" i="2"/>
  <c r="BO6" i="2"/>
  <c r="BK6" i="2"/>
  <c r="BP46" i="2"/>
  <c r="BM46" i="2"/>
  <c r="BM16" i="2"/>
  <c r="BP16" i="2"/>
  <c r="BM36" i="2"/>
  <c r="BP36" i="2"/>
  <c r="BP6" i="2" l="1"/>
  <c r="BP76" i="2"/>
  <c r="BP56" i="2"/>
  <c r="BP66" i="2"/>
  <c r="BM6" i="2"/>
  <c r="BK36" i="2"/>
  <c r="BK16" i="2"/>
  <c r="BK46" i="2"/>
  <c r="BK66" i="2"/>
  <c r="BK56" i="2"/>
  <c r="BK76" i="2"/>
  <c r="BM76" i="2"/>
  <c r="BM56" i="2"/>
  <c r="BM66" i="2"/>
  <c r="BK26" i="2"/>
  <c r="BM26" i="2"/>
  <c r="BP26" i="2"/>
  <c r="A35" i="12" l="1"/>
  <c r="BM25" i="12"/>
  <c r="BM5" i="12"/>
  <c r="A25" i="12"/>
  <c r="A55" i="12"/>
  <c r="BM35" i="12"/>
  <c r="BM15" i="12"/>
  <c r="A15" i="12"/>
  <c r="A75" i="12"/>
  <c r="A65" i="12"/>
  <c r="BM75" i="12"/>
  <c r="BM65" i="12"/>
  <c r="BM55" i="12"/>
  <c r="BM45" i="12"/>
  <c r="A45" i="12"/>
  <c r="A5" i="12"/>
  <c r="B4" i="12" l="1"/>
  <c r="A4" i="8"/>
  <c r="C9" i="10"/>
  <c r="AD4" i="12"/>
  <c r="C33" i="10"/>
  <c r="A12" i="8"/>
  <c r="AR4" i="12"/>
  <c r="C45" i="10"/>
  <c r="A16" i="8"/>
  <c r="AY4" i="12"/>
  <c r="C51" i="10"/>
  <c r="A18" i="8"/>
  <c r="I4" i="12"/>
  <c r="A6" i="8"/>
  <c r="C15" i="10"/>
  <c r="AK4" i="12"/>
  <c r="A14" i="8"/>
  <c r="C39" i="10"/>
  <c r="P4" i="12"/>
  <c r="A8" i="8"/>
  <c r="C21" i="10"/>
  <c r="W4" i="12"/>
  <c r="A10" i="8"/>
  <c r="C27" i="10"/>
  <c r="K3" i="8" l="1"/>
  <c r="G8" i="10" s="1"/>
  <c r="W87" i="12"/>
  <c r="H3" i="8"/>
  <c r="F8" i="10" s="1"/>
  <c r="P87" i="12"/>
  <c r="Q3" i="8"/>
  <c r="I8" i="10" s="1"/>
  <c r="AK87" i="12"/>
  <c r="E3" i="8"/>
  <c r="E8" i="10" s="1"/>
  <c r="I87" i="12"/>
  <c r="W3" i="8"/>
  <c r="K8" i="10" s="1"/>
  <c r="AY87" i="12"/>
  <c r="T3" i="8"/>
  <c r="J8" i="10" s="1"/>
  <c r="AR87" i="12"/>
  <c r="N3" i="8"/>
  <c r="H8" i="10" s="1"/>
  <c r="AD87" i="12"/>
  <c r="B3" i="8"/>
  <c r="D8" i="10" s="1"/>
  <c r="B87" i="12"/>
  <c r="AF16" i="12" l="1"/>
  <c r="AD24" i="12"/>
  <c r="AF21" i="12"/>
  <c r="AD19" i="12"/>
  <c r="AF36" i="12"/>
  <c r="AD44" i="12"/>
  <c r="AF41" i="12"/>
  <c r="AD39" i="12"/>
  <c r="AD9" i="12"/>
  <c r="AF11" i="12"/>
  <c r="AF6" i="12"/>
  <c r="AD14" i="12"/>
  <c r="AD29" i="12"/>
  <c r="AD34" i="12"/>
  <c r="AF31" i="12"/>
  <c r="AF26" i="12"/>
  <c r="AR49" i="12"/>
  <c r="AT46" i="12"/>
  <c r="AR54" i="12"/>
  <c r="AT51" i="12"/>
  <c r="AR59" i="12"/>
  <c r="AT56" i="12"/>
  <c r="AR64" i="12"/>
  <c r="AT61" i="12"/>
  <c r="AT21" i="12"/>
  <c r="AT16" i="12"/>
  <c r="AR19" i="12"/>
  <c r="AR24" i="12"/>
  <c r="AR44" i="12"/>
  <c r="AT36" i="12"/>
  <c r="AR39" i="12"/>
  <c r="AT41" i="12"/>
  <c r="AR14" i="12"/>
  <c r="AT6" i="12"/>
  <c r="AR9" i="12"/>
  <c r="AT11" i="12"/>
  <c r="AR29" i="12"/>
  <c r="AR34" i="12"/>
  <c r="AT26" i="12"/>
  <c r="AT31" i="12"/>
  <c r="AY54" i="12"/>
  <c r="BA46" i="12"/>
  <c r="AY49" i="12"/>
  <c r="BA51" i="12"/>
  <c r="BA56" i="12"/>
  <c r="AY59" i="12"/>
  <c r="AY64" i="12"/>
  <c r="BA61" i="12"/>
  <c r="BA71" i="12"/>
  <c r="AY74" i="12"/>
  <c r="AY69" i="12"/>
  <c r="BA66" i="12"/>
  <c r="BA16" i="12"/>
  <c r="AY24" i="12"/>
  <c r="AY19" i="12"/>
  <c r="BA21" i="12"/>
  <c r="AY39" i="12"/>
  <c r="BA41" i="12"/>
  <c r="BA36" i="12"/>
  <c r="AY44" i="12"/>
  <c r="AY14" i="12"/>
  <c r="BA11" i="12"/>
  <c r="AY9" i="12"/>
  <c r="BA6" i="12"/>
  <c r="BA31" i="12"/>
  <c r="AY34" i="12"/>
  <c r="AY29" i="12"/>
  <c r="BA26" i="12"/>
  <c r="I9" i="12"/>
  <c r="K11" i="12"/>
  <c r="K6" i="12"/>
  <c r="I14" i="12"/>
  <c r="AK54" i="12"/>
  <c r="AM51" i="12"/>
  <c r="AK49" i="12"/>
  <c r="AM46" i="12"/>
  <c r="AM21" i="12"/>
  <c r="AK19" i="12"/>
  <c r="AK24" i="12"/>
  <c r="AM16" i="12"/>
  <c r="AK44" i="12"/>
  <c r="AM41" i="12"/>
  <c r="AK39" i="12"/>
  <c r="AM36" i="12"/>
  <c r="AM6" i="12"/>
  <c r="AK9" i="12"/>
  <c r="AK14" i="12"/>
  <c r="AM11" i="12"/>
  <c r="AK34" i="12"/>
  <c r="AM26" i="12"/>
  <c r="AK29" i="12"/>
  <c r="AM31" i="12"/>
  <c r="R21" i="12"/>
  <c r="R16" i="12"/>
  <c r="P19" i="12"/>
  <c r="P24" i="12"/>
  <c r="R6" i="12"/>
  <c r="P9" i="12"/>
  <c r="P14" i="12"/>
  <c r="R11" i="12"/>
  <c r="W19" i="12"/>
  <c r="Y16" i="12"/>
  <c r="Y21" i="12"/>
  <c r="W24" i="12"/>
  <c r="W14" i="12"/>
  <c r="W9" i="12"/>
  <c r="Y6" i="12"/>
  <c r="Y11" i="12"/>
  <c r="Y31" i="12"/>
  <c r="W29" i="12"/>
  <c r="Y26" i="12"/>
  <c r="W34" i="12"/>
  <c r="P44" i="12" l="1"/>
  <c r="Z33" i="12"/>
  <c r="G26" i="10"/>
  <c r="X33" i="12"/>
  <c r="T36" i="12"/>
  <c r="Y27" i="12"/>
  <c r="AA26" i="12"/>
  <c r="R36" i="12" s="1"/>
  <c r="X28" i="12"/>
  <c r="G23" i="10"/>
  <c r="P39" i="12"/>
  <c r="Z28" i="12"/>
  <c r="AA31" i="12"/>
  <c r="R41" i="12" s="1"/>
  <c r="T41" i="12"/>
  <c r="Y32" i="12"/>
  <c r="F41" i="12"/>
  <c r="AA11" i="12"/>
  <c r="D41" i="12" s="1"/>
  <c r="Y12" i="12"/>
  <c r="Y7" i="12"/>
  <c r="F36" i="12"/>
  <c r="AA6" i="12"/>
  <c r="D36" i="12" s="1"/>
  <c r="X8" i="12"/>
  <c r="B39" i="12"/>
  <c r="Z8" i="12"/>
  <c r="G11" i="10"/>
  <c r="X13" i="12"/>
  <c r="Z13" i="12"/>
  <c r="B44" i="12"/>
  <c r="G14" i="10"/>
  <c r="X23" i="12"/>
  <c r="G20" i="10"/>
  <c r="Z23" i="12"/>
  <c r="I44" i="12"/>
  <c r="M41" i="12"/>
  <c r="AA21" i="12"/>
  <c r="K41" i="12" s="1"/>
  <c r="Y22" i="12"/>
  <c r="Y17" i="12"/>
  <c r="M36" i="12"/>
  <c r="AA16" i="12"/>
  <c r="K36" i="12" s="1"/>
  <c r="I39" i="12"/>
  <c r="G17" i="10"/>
  <c r="Z18" i="12"/>
  <c r="X18" i="12"/>
  <c r="F31" i="12"/>
  <c r="R12" i="12"/>
  <c r="T11" i="12"/>
  <c r="D31" i="12" s="1"/>
  <c r="Q13" i="12"/>
  <c r="F14" i="10"/>
  <c r="S13" i="12"/>
  <c r="B34" i="12"/>
  <c r="B29" i="12"/>
  <c r="Q8" i="12"/>
  <c r="F11" i="10"/>
  <c r="S8" i="12"/>
  <c r="R7" i="12"/>
  <c r="T6" i="12"/>
  <c r="D26" i="12" s="1"/>
  <c r="F26" i="12"/>
  <c r="I34" i="12"/>
  <c r="Q23" i="12"/>
  <c r="F20" i="10"/>
  <c r="S23" i="12"/>
  <c r="Q18" i="12"/>
  <c r="S18" i="12"/>
  <c r="F17" i="10"/>
  <c r="I29" i="12"/>
  <c r="R17" i="12"/>
  <c r="M26" i="12"/>
  <c r="T16" i="12"/>
  <c r="K26" i="12" s="1"/>
  <c r="M31" i="12"/>
  <c r="R22" i="12"/>
  <c r="T21" i="12"/>
  <c r="K31" i="12" s="1"/>
  <c r="AM32" i="12"/>
  <c r="T61" i="12"/>
  <c r="AO31" i="12"/>
  <c r="R61" i="12" s="1"/>
  <c r="AN28" i="12"/>
  <c r="P59" i="12"/>
  <c r="AL28" i="12"/>
  <c r="I23" i="10"/>
  <c r="T56" i="12"/>
  <c r="AO26" i="12"/>
  <c r="R56" i="12" s="1"/>
  <c r="AM27" i="12"/>
  <c r="I26" i="10"/>
  <c r="AL33" i="12"/>
  <c r="P64" i="12"/>
  <c r="AN33" i="12"/>
  <c r="AO11" i="12"/>
  <c r="D61" i="12" s="1"/>
  <c r="AM12" i="12"/>
  <c r="F61" i="12"/>
  <c r="AN13" i="12"/>
  <c r="AL13" i="12"/>
  <c r="I14" i="10"/>
  <c r="B64" i="12"/>
  <c r="AL8" i="12"/>
  <c r="I11" i="10"/>
  <c r="AN8" i="12"/>
  <c r="B59" i="12"/>
  <c r="AM7" i="12"/>
  <c r="AO6" i="12"/>
  <c r="D56" i="12" s="1"/>
  <c r="F56" i="12"/>
  <c r="AO36" i="12"/>
  <c r="Y56" i="12" s="1"/>
  <c r="AA56" i="12"/>
  <c r="AM37" i="12"/>
  <c r="AN38" i="12"/>
  <c r="I29" i="10"/>
  <c r="AL38" i="12"/>
  <c r="W59" i="12"/>
  <c r="AA61" i="12"/>
  <c r="AM42" i="12"/>
  <c r="AO41" i="12"/>
  <c r="Y61" i="12" s="1"/>
  <c r="AL43" i="12"/>
  <c r="AN43" i="12"/>
  <c r="W64" i="12"/>
  <c r="I32" i="10"/>
  <c r="AM17" i="12"/>
  <c r="M56" i="12"/>
  <c r="AO16" i="12"/>
  <c r="K56" i="12" s="1"/>
  <c r="I20" i="10"/>
  <c r="AL23" i="12"/>
  <c r="AN23" i="12"/>
  <c r="I64" i="12"/>
  <c r="I17" i="10"/>
  <c r="AN18" i="12"/>
  <c r="I59" i="12"/>
  <c r="AL18" i="12"/>
  <c r="AM22" i="12"/>
  <c r="AO21" i="12"/>
  <c r="K61" i="12" s="1"/>
  <c r="M61" i="12"/>
  <c r="AM47" i="12"/>
  <c r="AO46" i="12"/>
  <c r="AF56" i="12" s="1"/>
  <c r="AH56" i="12"/>
  <c r="AL48" i="12"/>
  <c r="I35" i="10"/>
  <c r="AD59" i="12"/>
  <c r="AN48" i="12"/>
  <c r="AM52" i="12"/>
  <c r="AO51" i="12"/>
  <c r="AF61" i="12" s="1"/>
  <c r="AH61" i="12"/>
  <c r="I38" i="10"/>
  <c r="AL53" i="12"/>
  <c r="AN53" i="12"/>
  <c r="AD64" i="12"/>
  <c r="J13" i="12"/>
  <c r="E14" i="10"/>
  <c r="B24" i="12"/>
  <c r="L13" i="12"/>
  <c r="F16" i="12"/>
  <c r="M6" i="12"/>
  <c r="D16" i="12" s="1"/>
  <c r="K7" i="12"/>
  <c r="M11" i="12"/>
  <c r="D21" i="12" s="1"/>
  <c r="K12" i="12"/>
  <c r="F21" i="12"/>
  <c r="B19" i="12"/>
  <c r="E11" i="10"/>
  <c r="L8" i="12"/>
  <c r="J8" i="12"/>
  <c r="BC26" i="12"/>
  <c r="R76" i="12" s="1"/>
  <c r="T76" i="12"/>
  <c r="BA27" i="12"/>
  <c r="P79" i="12"/>
  <c r="AZ28" i="12"/>
  <c r="K23" i="10"/>
  <c r="BB28" i="12"/>
  <c r="AZ33" i="12"/>
  <c r="K26" i="10"/>
  <c r="BB33" i="12"/>
  <c r="P84" i="12"/>
  <c r="BA32" i="12"/>
  <c r="T81" i="12"/>
  <c r="BC31" i="12"/>
  <c r="R81" i="12" s="1"/>
  <c r="BC6" i="12"/>
  <c r="D76" i="12" s="1"/>
  <c r="BA7" i="12"/>
  <c r="F76" i="12"/>
  <c r="BB8" i="12"/>
  <c r="B79" i="12"/>
  <c r="AZ8" i="12"/>
  <c r="K11" i="10"/>
  <c r="BC11" i="12"/>
  <c r="D81" i="12" s="1"/>
  <c r="BA12" i="12"/>
  <c r="F81" i="12"/>
  <c r="B84" i="12"/>
  <c r="K14" i="10"/>
  <c r="AZ13" i="12"/>
  <c r="BB13" i="12"/>
  <c r="AZ43" i="12"/>
  <c r="BB43" i="12"/>
  <c r="K32" i="10"/>
  <c r="W84" i="12"/>
  <c r="BC36" i="12"/>
  <c r="Y76" i="12" s="1"/>
  <c r="BA37" i="12"/>
  <c r="AA76" i="12"/>
  <c r="BC41" i="12"/>
  <c r="Y81" i="12" s="1"/>
  <c r="BA42" i="12"/>
  <c r="AA81" i="12"/>
  <c r="W79" i="12"/>
  <c r="AZ38" i="12"/>
  <c r="BB38" i="12"/>
  <c r="K29" i="10"/>
  <c r="BA22" i="12"/>
  <c r="M81" i="12"/>
  <c r="BC21" i="12"/>
  <c r="K81" i="12" s="1"/>
  <c r="AZ18" i="12"/>
  <c r="K17" i="10"/>
  <c r="I79" i="12"/>
  <c r="BB18" i="12"/>
  <c r="BB23" i="12"/>
  <c r="I84" i="12"/>
  <c r="K20" i="10"/>
  <c r="AZ23" i="12"/>
  <c r="BA17" i="12"/>
  <c r="BC16" i="12"/>
  <c r="K76" i="12" s="1"/>
  <c r="M76" i="12"/>
  <c r="BA67" i="12"/>
  <c r="AV76" i="12"/>
  <c r="BC66" i="12"/>
  <c r="AT76" i="12" s="1"/>
  <c r="AR79" i="12"/>
  <c r="BB68" i="12"/>
  <c r="AZ68" i="12"/>
  <c r="K47" i="10"/>
  <c r="AZ73" i="12"/>
  <c r="BB73" i="12"/>
  <c r="K50" i="10"/>
  <c r="AR84" i="12"/>
  <c r="BA72" i="12"/>
  <c r="BC71" i="12"/>
  <c r="AT81" i="12" s="1"/>
  <c r="AV81" i="12"/>
  <c r="AO81" i="12"/>
  <c r="BA62" i="12"/>
  <c r="BC61" i="12"/>
  <c r="AM81" i="12" s="1"/>
  <c r="BB63" i="12"/>
  <c r="AZ63" i="12"/>
  <c r="AK84" i="12"/>
  <c r="K44" i="10"/>
  <c r="BB58" i="12"/>
  <c r="K41" i="10"/>
  <c r="AZ58" i="12"/>
  <c r="AK79" i="12"/>
  <c r="BC56" i="12"/>
  <c r="AM76" i="12" s="1"/>
  <c r="AO76" i="12"/>
  <c r="BA57" i="12"/>
  <c r="BC51" i="12"/>
  <c r="AF81" i="12" s="1"/>
  <c r="AH81" i="12"/>
  <c r="BA52" i="12"/>
  <c r="BB48" i="12"/>
  <c r="K35" i="10"/>
  <c r="AD79" i="12"/>
  <c r="AZ48" i="12"/>
  <c r="BA47" i="12"/>
  <c r="AH76" i="12"/>
  <c r="BC46" i="12"/>
  <c r="AF76" i="12" s="1"/>
  <c r="BB53" i="12"/>
  <c r="AZ53" i="12"/>
  <c r="AD84" i="12"/>
  <c r="K38" i="10"/>
  <c r="AT32" i="12"/>
  <c r="AV31" i="12"/>
  <c r="R71" i="12" s="1"/>
  <c r="T71" i="12"/>
  <c r="T66" i="12"/>
  <c r="AT27" i="12"/>
  <c r="AV26" i="12"/>
  <c r="R66" i="12" s="1"/>
  <c r="AS33" i="12"/>
  <c r="AU33" i="12"/>
  <c r="P74" i="12"/>
  <c r="J26" i="10"/>
  <c r="P69" i="12"/>
  <c r="AU28" i="12"/>
  <c r="J23" i="10"/>
  <c r="AS28" i="12"/>
  <c r="F71" i="12"/>
  <c r="AV11" i="12"/>
  <c r="D71" i="12" s="1"/>
  <c r="AT12" i="12"/>
  <c r="J11" i="10"/>
  <c r="AU8" i="12"/>
  <c r="B69" i="12"/>
  <c r="AS8" i="12"/>
  <c r="AV6" i="12"/>
  <c r="D66" i="12" s="1"/>
  <c r="F66" i="12"/>
  <c r="AT7" i="12"/>
  <c r="AU13" i="12"/>
  <c r="J14" i="10"/>
  <c r="AS13" i="12"/>
  <c r="B74" i="12"/>
  <c r="AA71" i="12"/>
  <c r="AT42" i="12"/>
  <c r="AV41" i="12"/>
  <c r="Y71" i="12" s="1"/>
  <c r="J29" i="10"/>
  <c r="AU38" i="12"/>
  <c r="W69" i="12"/>
  <c r="AS38" i="12"/>
  <c r="AT37" i="12"/>
  <c r="AA66" i="12"/>
  <c r="AV36" i="12"/>
  <c r="Y66" i="12" s="1"/>
  <c r="J32" i="10"/>
  <c r="AS43" i="12"/>
  <c r="AU43" i="12"/>
  <c r="W74" i="12"/>
  <c r="I74" i="12"/>
  <c r="AS23" i="12"/>
  <c r="AU23" i="12"/>
  <c r="J20" i="10"/>
  <c r="I69" i="12"/>
  <c r="AU18" i="12"/>
  <c r="J17" i="10"/>
  <c r="AS18" i="12"/>
  <c r="AT17" i="12"/>
  <c r="AV16" i="12"/>
  <c r="K66" i="12" s="1"/>
  <c r="M66" i="12"/>
  <c r="M71" i="12"/>
  <c r="AV21" i="12"/>
  <c r="K71" i="12" s="1"/>
  <c r="AT22" i="12"/>
  <c r="AT62" i="12"/>
  <c r="AO71" i="12"/>
  <c r="AV61" i="12"/>
  <c r="AM71" i="12" s="1"/>
  <c r="J44" i="10"/>
  <c r="AK74" i="12"/>
  <c r="AS63" i="12"/>
  <c r="AU63" i="12"/>
  <c r="AV56" i="12"/>
  <c r="AM66" i="12" s="1"/>
  <c r="AT57" i="12"/>
  <c r="AO66" i="12"/>
  <c r="J41" i="10"/>
  <c r="AS58" i="12"/>
  <c r="AU58" i="12"/>
  <c r="AK69" i="12"/>
  <c r="AT52" i="12"/>
  <c r="AV51" i="12"/>
  <c r="AF71" i="12" s="1"/>
  <c r="AH71" i="12"/>
  <c r="J38" i="10"/>
  <c r="AD74" i="12"/>
  <c r="AS53" i="12"/>
  <c r="AU53" i="12"/>
  <c r="AV46" i="12"/>
  <c r="AF66" i="12" s="1"/>
  <c r="AT47" i="12"/>
  <c r="AH66" i="12"/>
  <c r="AD69" i="12"/>
  <c r="AU48" i="12"/>
  <c r="AS48" i="12"/>
  <c r="J35" i="10"/>
  <c r="AH26" i="12"/>
  <c r="R46" i="12" s="1"/>
  <c r="T46" i="12"/>
  <c r="AF27" i="12"/>
  <c r="AF32" i="12"/>
  <c r="AH31" i="12"/>
  <c r="R51" i="12" s="1"/>
  <c r="T51" i="12"/>
  <c r="AG33" i="12"/>
  <c r="H26" i="10"/>
  <c r="AE33" i="12"/>
  <c r="P54" i="12"/>
  <c r="AE28" i="12"/>
  <c r="AG28" i="12"/>
  <c r="H23" i="10"/>
  <c r="P49" i="12"/>
  <c r="AG13" i="12"/>
  <c r="H14" i="10"/>
  <c r="AE13" i="12"/>
  <c r="B54" i="12"/>
  <c r="AF7" i="12"/>
  <c r="AH6" i="12"/>
  <c r="F46" i="12"/>
  <c r="AH11" i="12"/>
  <c r="D51" i="12" s="1"/>
  <c r="AF12" i="12"/>
  <c r="F51" i="12"/>
  <c r="H11" i="10"/>
  <c r="AG8" i="12"/>
  <c r="B49" i="12"/>
  <c r="AE8" i="12"/>
  <c r="W49" i="12"/>
  <c r="AG38" i="12"/>
  <c r="AE38" i="12"/>
  <c r="H29" i="10"/>
  <c r="AH41" i="12"/>
  <c r="Y51" i="12" s="1"/>
  <c r="AF42" i="12"/>
  <c r="AA51" i="12"/>
  <c r="AE43" i="12"/>
  <c r="H32" i="10"/>
  <c r="W54" i="12"/>
  <c r="AG43" i="12"/>
  <c r="AH36" i="12"/>
  <c r="Y46" i="12" s="1"/>
  <c r="AF37" i="12"/>
  <c r="AA46" i="12"/>
  <c r="H17" i="10"/>
  <c r="AE18" i="12"/>
  <c r="I49" i="12"/>
  <c r="AG18" i="12"/>
  <c r="M51" i="12"/>
  <c r="AH21" i="12"/>
  <c r="K51" i="12" s="1"/>
  <c r="AF22" i="12"/>
  <c r="I54" i="12"/>
  <c r="AE23" i="12"/>
  <c r="H20" i="10"/>
  <c r="AG23" i="12"/>
  <c r="M46" i="12"/>
  <c r="AH16" i="12"/>
  <c r="K46" i="12" s="1"/>
  <c r="AF17" i="12"/>
  <c r="AD15" i="12" l="1"/>
  <c r="N6" i="8" s="1"/>
  <c r="M47" i="12"/>
  <c r="M45" i="12" s="1"/>
  <c r="AH17" i="12"/>
  <c r="H18" i="10"/>
  <c r="J53" i="12"/>
  <c r="L53" i="12"/>
  <c r="E38" i="10"/>
  <c r="AD20" i="12"/>
  <c r="N7" i="8" s="1"/>
  <c r="AH22" i="12"/>
  <c r="M52" i="12"/>
  <c r="M50" i="12" s="1"/>
  <c r="L48" i="12"/>
  <c r="J48" i="12"/>
  <c r="E35" i="10"/>
  <c r="H15" i="10"/>
  <c r="AA47" i="12"/>
  <c r="AA45" i="12" s="1"/>
  <c r="AH37" i="12"/>
  <c r="AD35" i="12"/>
  <c r="N10" i="8" s="1"/>
  <c r="X53" i="12"/>
  <c r="G38" i="10"/>
  <c r="Z53" i="12"/>
  <c r="H30" i="10"/>
  <c r="AD40" i="12"/>
  <c r="N11" i="8" s="1"/>
  <c r="AH42" i="12"/>
  <c r="AA52" i="12"/>
  <c r="AA50" i="12" s="1"/>
  <c r="H27" i="10"/>
  <c r="G35" i="10"/>
  <c r="Z48" i="12"/>
  <c r="X48" i="12"/>
  <c r="D35" i="10"/>
  <c r="E48" i="12"/>
  <c r="C48" i="12"/>
  <c r="H9" i="10"/>
  <c r="AD10" i="12"/>
  <c r="N5" i="8" s="1"/>
  <c r="AH12" i="12"/>
  <c r="F52" i="12"/>
  <c r="F50" i="12" s="1"/>
  <c r="D46" i="12"/>
  <c r="F47" i="12"/>
  <c r="F45" i="12" s="1"/>
  <c r="AH7" i="12"/>
  <c r="AD5" i="12"/>
  <c r="N4" i="8" s="1"/>
  <c r="D38" i="10"/>
  <c r="C53" i="12"/>
  <c r="E53" i="12"/>
  <c r="H12" i="10"/>
  <c r="F35" i="10"/>
  <c r="Q48" i="12"/>
  <c r="S48" i="12"/>
  <c r="H21" i="10"/>
  <c r="S53" i="12"/>
  <c r="F38" i="10"/>
  <c r="Q53" i="12"/>
  <c r="H24" i="10"/>
  <c r="AG30" i="12"/>
  <c r="AD30" i="12"/>
  <c r="N9" i="8" s="1"/>
  <c r="AH32" i="12"/>
  <c r="T52" i="12"/>
  <c r="T50" i="12" s="1"/>
  <c r="AH27" i="12"/>
  <c r="T47" i="12"/>
  <c r="T45" i="12" s="1"/>
  <c r="AD25" i="12"/>
  <c r="N8" i="8" s="1"/>
  <c r="J33" i="10"/>
  <c r="H47" i="10"/>
  <c r="AE68" i="12"/>
  <c r="AG68" i="12"/>
  <c r="AV47" i="12"/>
  <c r="AH67" i="12"/>
  <c r="AH65" i="12" s="1"/>
  <c r="AR45" i="12"/>
  <c r="T12" i="8" s="1"/>
  <c r="H50" i="10"/>
  <c r="AE73" i="12"/>
  <c r="AG73" i="12"/>
  <c r="J36" i="10"/>
  <c r="AR50" i="12"/>
  <c r="T13" i="8" s="1"/>
  <c r="AV52" i="12"/>
  <c r="AH72" i="12"/>
  <c r="AH70" i="12" s="1"/>
  <c r="AN68" i="12"/>
  <c r="I47" i="10"/>
  <c r="AL68" i="12"/>
  <c r="J39" i="10"/>
  <c r="AO67" i="12"/>
  <c r="AO65" i="12" s="1"/>
  <c r="AV57" i="12"/>
  <c r="AR55" i="12"/>
  <c r="T14" i="8" s="1"/>
  <c r="I50" i="10"/>
  <c r="AL73" i="12"/>
  <c r="AN73" i="12"/>
  <c r="J42" i="10"/>
  <c r="AU60" i="12"/>
  <c r="AR60" i="12"/>
  <c r="T15" i="8" s="1"/>
  <c r="AV62" i="12"/>
  <c r="AO72" i="12"/>
  <c r="AO70" i="12" s="1"/>
  <c r="AR20" i="12"/>
  <c r="T7" i="8" s="1"/>
  <c r="AV22" i="12"/>
  <c r="M72" i="12"/>
  <c r="M70" i="12" s="1"/>
  <c r="M67" i="12"/>
  <c r="M65" i="12" s="1"/>
  <c r="AV17" i="12"/>
  <c r="AR15" i="12"/>
  <c r="T6" i="8" s="1"/>
  <c r="J15" i="10"/>
  <c r="E47" i="10"/>
  <c r="L68" i="12"/>
  <c r="J68" i="12"/>
  <c r="J18" i="10"/>
  <c r="J73" i="12"/>
  <c r="L73" i="12"/>
  <c r="E50" i="10"/>
  <c r="G50" i="10"/>
  <c r="X73" i="12"/>
  <c r="Z73" i="12"/>
  <c r="J30" i="10"/>
  <c r="AA67" i="12"/>
  <c r="AA65" i="12" s="1"/>
  <c r="AV37" i="12"/>
  <c r="AR35" i="12"/>
  <c r="T10" i="8" s="1"/>
  <c r="G47" i="10"/>
  <c r="X68" i="12"/>
  <c r="Z68" i="12"/>
  <c r="J27" i="10"/>
  <c r="AA72" i="12"/>
  <c r="AA70" i="12" s="1"/>
  <c r="AR40" i="12"/>
  <c r="T11" i="8" s="1"/>
  <c r="AV42" i="12"/>
  <c r="AU40" i="12"/>
  <c r="E73" i="12"/>
  <c r="D50" i="10"/>
  <c r="C73" i="12"/>
  <c r="J12" i="10"/>
  <c r="AV7" i="12"/>
  <c r="AR5" i="12"/>
  <c r="T4" i="8" s="1"/>
  <c r="F67" i="12"/>
  <c r="F65" i="12" s="1"/>
  <c r="D47" i="10"/>
  <c r="E68" i="12"/>
  <c r="C68" i="12"/>
  <c r="J9" i="10"/>
  <c r="AR10" i="12"/>
  <c r="T5" i="8" s="1"/>
  <c r="AV12" i="12"/>
  <c r="F72" i="12"/>
  <c r="F70" i="12" s="1"/>
  <c r="J21" i="10"/>
  <c r="Q68" i="12"/>
  <c r="F47" i="10"/>
  <c r="S68" i="12"/>
  <c r="J24" i="10"/>
  <c r="F50" i="10"/>
  <c r="Q73" i="12"/>
  <c r="S73" i="12"/>
  <c r="AR25" i="12"/>
  <c r="T8" i="8" s="1"/>
  <c r="T67" i="12"/>
  <c r="T65" i="12" s="1"/>
  <c r="AV27" i="12"/>
  <c r="AR30" i="12"/>
  <c r="T9" i="8" s="1"/>
  <c r="AV32" i="12"/>
  <c r="T72" i="12"/>
  <c r="T70" i="12" s="1"/>
  <c r="K36" i="10"/>
  <c r="AE83" i="12"/>
  <c r="H56" i="10"/>
  <c r="AG83" i="12"/>
  <c r="AH77" i="12"/>
  <c r="AH75" i="12" s="1"/>
  <c r="AY45" i="12"/>
  <c r="W12" i="8" s="1"/>
  <c r="BC47" i="12"/>
  <c r="H53" i="10"/>
  <c r="AG78" i="12"/>
  <c r="AE78" i="12"/>
  <c r="K33" i="10"/>
  <c r="BC52" i="12"/>
  <c r="AH82" i="12"/>
  <c r="AH80" i="12" s="1"/>
  <c r="AY50" i="12"/>
  <c r="W13" i="8" s="1"/>
  <c r="BB50" i="12"/>
  <c r="AO77" i="12"/>
  <c r="AO75" i="12" s="1"/>
  <c r="BC57" i="12"/>
  <c r="AY55" i="12"/>
  <c r="W14" i="8" s="1"/>
  <c r="AN78" i="12"/>
  <c r="AL78" i="12"/>
  <c r="I53" i="10"/>
  <c r="K39" i="10"/>
  <c r="K42" i="10"/>
  <c r="I56" i="10"/>
  <c r="AL83" i="12"/>
  <c r="AN83" i="12"/>
  <c r="AY60" i="12"/>
  <c r="W15" i="8" s="1"/>
  <c r="BC62" i="12"/>
  <c r="AO82" i="12"/>
  <c r="AO80" i="12" s="1"/>
  <c r="AY70" i="12"/>
  <c r="W17" i="8" s="1"/>
  <c r="BB70" i="12"/>
  <c r="AV82" i="12"/>
  <c r="AV80" i="12" s="1"/>
  <c r="BC72" i="12"/>
  <c r="AS83" i="12"/>
  <c r="J56" i="10"/>
  <c r="AU83" i="12"/>
  <c r="K48" i="10"/>
  <c r="K45" i="10"/>
  <c r="AU78" i="12"/>
  <c r="AS78" i="12"/>
  <c r="J53" i="10"/>
  <c r="AY65" i="12"/>
  <c r="W16" i="8" s="1"/>
  <c r="BC67" i="12"/>
  <c r="AV77" i="12"/>
  <c r="AV75" i="12" s="1"/>
  <c r="AY15" i="12"/>
  <c r="W6" i="8" s="1"/>
  <c r="BC17" i="12"/>
  <c r="M77" i="12"/>
  <c r="M75" i="12" s="1"/>
  <c r="K18" i="10"/>
  <c r="E56" i="10"/>
  <c r="L83" i="12"/>
  <c r="J83" i="12"/>
  <c r="J78" i="12"/>
  <c r="E53" i="10"/>
  <c r="L78" i="12"/>
  <c r="K15" i="10"/>
  <c r="AY20" i="12"/>
  <c r="W7" i="8" s="1"/>
  <c r="M82" i="12"/>
  <c r="M80" i="12" s="1"/>
  <c r="BB20" i="12"/>
  <c r="BC22" i="12"/>
  <c r="K27" i="10"/>
  <c r="G53" i="10"/>
  <c r="X78" i="12"/>
  <c r="Z78" i="12"/>
  <c r="AY40" i="12"/>
  <c r="W11" i="8" s="1"/>
  <c r="BC42" i="12"/>
  <c r="AA82" i="12"/>
  <c r="AA80" i="12" s="1"/>
  <c r="BC37" i="12"/>
  <c r="AY35" i="12"/>
  <c r="W10" i="8" s="1"/>
  <c r="AA77" i="12"/>
  <c r="AA75" i="12" s="1"/>
  <c r="Z83" i="12"/>
  <c r="X83" i="12"/>
  <c r="G56" i="10"/>
  <c r="K30" i="10"/>
  <c r="K12" i="10"/>
  <c r="E83" i="12"/>
  <c r="D56" i="10"/>
  <c r="C83" i="12"/>
  <c r="AY10" i="12"/>
  <c r="W5" i="8" s="1"/>
  <c r="BC12" i="12"/>
  <c r="F82" i="12"/>
  <c r="F80" i="12" s="1"/>
  <c r="K9" i="10"/>
  <c r="E78" i="12"/>
  <c r="C78" i="12"/>
  <c r="D53" i="10"/>
  <c r="AY5" i="12"/>
  <c r="W4" i="8" s="1"/>
  <c r="BC7" i="12"/>
  <c r="F77" i="12"/>
  <c r="F75" i="12" s="1"/>
  <c r="T82" i="12"/>
  <c r="T80" i="12" s="1"/>
  <c r="AY30" i="12"/>
  <c r="W9" i="8" s="1"/>
  <c r="BC32" i="12"/>
  <c r="F56" i="10"/>
  <c r="Q83" i="12"/>
  <c r="S83" i="12"/>
  <c r="K24" i="10"/>
  <c r="K21" i="10"/>
  <c r="F53" i="10"/>
  <c r="Q78" i="12"/>
  <c r="S78" i="12"/>
  <c r="BC27" i="12"/>
  <c r="T77" i="12"/>
  <c r="T75" i="12" s="1"/>
  <c r="AY25" i="12"/>
  <c r="W8" i="8" s="1"/>
  <c r="E9" i="10"/>
  <c r="D17" i="10"/>
  <c r="E18" i="12"/>
  <c r="C18" i="12"/>
  <c r="L10" i="12"/>
  <c r="I10" i="12"/>
  <c r="E5" i="8" s="1"/>
  <c r="M12" i="12"/>
  <c r="F22" i="12"/>
  <c r="F20" i="12" s="1"/>
  <c r="M7" i="12"/>
  <c r="I5" i="12"/>
  <c r="E4" i="8" s="1"/>
  <c r="F17" i="12"/>
  <c r="F15" i="12" s="1"/>
  <c r="C23" i="12"/>
  <c r="D20" i="10"/>
  <c r="E23" i="12"/>
  <c r="H44" i="10"/>
  <c r="AE63" i="12"/>
  <c r="AG63" i="12"/>
  <c r="I36" i="10"/>
  <c r="AK50" i="12"/>
  <c r="Q13" i="8" s="1"/>
  <c r="AO52" i="12"/>
  <c r="AN50" i="12"/>
  <c r="AH62" i="12"/>
  <c r="AH60" i="12" s="1"/>
  <c r="AG58" i="12"/>
  <c r="AE58" i="12"/>
  <c r="H41" i="10"/>
  <c r="I33" i="10"/>
  <c r="AK45" i="12"/>
  <c r="Q12" i="8" s="1"/>
  <c r="AO47" i="12"/>
  <c r="AH57" i="12"/>
  <c r="AH55" i="12" s="1"/>
  <c r="AO22" i="12"/>
  <c r="M62" i="12"/>
  <c r="M60" i="12" s="1"/>
  <c r="AK20" i="12"/>
  <c r="Q7" i="8" s="1"/>
  <c r="E41" i="10"/>
  <c r="L58" i="12"/>
  <c r="J58" i="12"/>
  <c r="I15" i="10"/>
  <c r="E44" i="10"/>
  <c r="L63" i="12"/>
  <c r="J63" i="12"/>
  <c r="I18" i="10"/>
  <c r="AK15" i="12"/>
  <c r="Q6" i="8" s="1"/>
  <c r="M57" i="12"/>
  <c r="M55" i="12" s="1"/>
  <c r="AO17" i="12"/>
  <c r="I30" i="10"/>
  <c r="Z63" i="12"/>
  <c r="X63" i="12"/>
  <c r="G44" i="10"/>
  <c r="AK40" i="12"/>
  <c r="Q11" i="8" s="1"/>
  <c r="AO42" i="12"/>
  <c r="AA62" i="12"/>
  <c r="AA60" i="12" s="1"/>
  <c r="G41" i="10"/>
  <c r="X58" i="12"/>
  <c r="Z58" i="12"/>
  <c r="I27" i="10"/>
  <c r="AO37" i="12"/>
  <c r="AA57" i="12"/>
  <c r="AA55" i="12" s="1"/>
  <c r="AK35" i="12"/>
  <c r="Q10" i="8" s="1"/>
  <c r="AO7" i="12"/>
  <c r="AK5" i="12"/>
  <c r="Q4" i="8" s="1"/>
  <c r="F57" i="12"/>
  <c r="F55" i="12" s="1"/>
  <c r="E58" i="12"/>
  <c r="C58" i="12"/>
  <c r="D41" i="10"/>
  <c r="I9" i="10"/>
  <c r="C63" i="12"/>
  <c r="E63" i="12"/>
  <c r="D44" i="10"/>
  <c r="I12" i="10"/>
  <c r="AK10" i="12"/>
  <c r="Q5" i="8" s="1"/>
  <c r="AO12" i="12"/>
  <c r="AN10" i="12"/>
  <c r="F62" i="12"/>
  <c r="F60" i="12" s="1"/>
  <c r="Q63" i="12"/>
  <c r="F44" i="10"/>
  <c r="S63" i="12"/>
  <c r="I24" i="10"/>
  <c r="AO27" i="12"/>
  <c r="AK25" i="12"/>
  <c r="Q8" i="8" s="1"/>
  <c r="T57" i="12"/>
  <c r="T55" i="12" s="1"/>
  <c r="I21" i="10"/>
  <c r="Q58" i="12"/>
  <c r="F41" i="10"/>
  <c r="S58" i="12"/>
  <c r="T62" i="12"/>
  <c r="T60" i="12" s="1"/>
  <c r="AK30" i="12"/>
  <c r="Q9" i="8" s="1"/>
  <c r="AO32" i="12"/>
  <c r="M32" i="12"/>
  <c r="M30" i="12" s="1"/>
  <c r="P20" i="12"/>
  <c r="H7" i="8" s="1"/>
  <c r="T22" i="12"/>
  <c r="S20" i="12"/>
  <c r="M27" i="12"/>
  <c r="M25" i="12" s="1"/>
  <c r="P15" i="12"/>
  <c r="H6" i="8" s="1"/>
  <c r="T17" i="12"/>
  <c r="J28" i="12"/>
  <c r="E23" i="10"/>
  <c r="L28" i="12"/>
  <c r="F15" i="10"/>
  <c r="F18" i="10"/>
  <c r="J33" i="12"/>
  <c r="L33" i="12"/>
  <c r="E26" i="10"/>
  <c r="P5" i="12"/>
  <c r="H4" i="8" s="1"/>
  <c r="T7" i="12"/>
  <c r="F27" i="12"/>
  <c r="F25" i="12" s="1"/>
  <c r="F9" i="10"/>
  <c r="D23" i="10"/>
  <c r="C28" i="12"/>
  <c r="E28" i="12"/>
  <c r="E33" i="12"/>
  <c r="D26" i="10"/>
  <c r="C33" i="12"/>
  <c r="F12" i="10"/>
  <c r="P10" i="12"/>
  <c r="H5" i="8" s="1"/>
  <c r="T12" i="12"/>
  <c r="F32" i="12"/>
  <c r="F30" i="12" s="1"/>
  <c r="G15" i="10"/>
  <c r="E29" i="10"/>
  <c r="L38" i="12"/>
  <c r="J38" i="12"/>
  <c r="M37" i="12"/>
  <c r="M35" i="12" s="1"/>
  <c r="W15" i="12"/>
  <c r="K6" i="8" s="1"/>
  <c r="AA17" i="12"/>
  <c r="W20" i="12"/>
  <c r="K7" i="8" s="1"/>
  <c r="AA22" i="12"/>
  <c r="M42" i="12"/>
  <c r="M40" i="12" s="1"/>
  <c r="J43" i="12"/>
  <c r="E32" i="10"/>
  <c r="L43" i="12"/>
  <c r="G18" i="10"/>
  <c r="G12" i="10"/>
  <c r="C43" i="12"/>
  <c r="D32" i="10"/>
  <c r="E43" i="12"/>
  <c r="G9" i="10"/>
  <c r="C38" i="12"/>
  <c r="E38" i="12"/>
  <c r="D29" i="10"/>
  <c r="AA7" i="12"/>
  <c r="F37" i="12"/>
  <c r="F35" i="12" s="1"/>
  <c r="W5" i="12"/>
  <c r="K4" i="8" s="1"/>
  <c r="W10" i="12"/>
  <c r="K5" i="8" s="1"/>
  <c r="AA12" i="12"/>
  <c r="Z10" i="12"/>
  <c r="F42" i="12"/>
  <c r="F40" i="12" s="1"/>
  <c r="W30" i="12"/>
  <c r="K9" i="8" s="1"/>
  <c r="AA32" i="12"/>
  <c r="Z30" i="12"/>
  <c r="T42" i="12"/>
  <c r="T40" i="12" s="1"/>
  <c r="F29" i="10"/>
  <c r="Q38" i="12"/>
  <c r="S38" i="12"/>
  <c r="G21" i="10"/>
  <c r="AA27" i="12"/>
  <c r="W25" i="12"/>
  <c r="K8" i="8" s="1"/>
  <c r="T37" i="12"/>
  <c r="T35" i="12" s="1"/>
  <c r="G24" i="10"/>
  <c r="S43" i="12"/>
  <c r="Q43" i="12"/>
  <c r="F32" i="10"/>
  <c r="F30" i="10" l="1"/>
  <c r="R37" i="12"/>
  <c r="AA25" i="12"/>
  <c r="F27" i="10"/>
  <c r="AA30" i="12"/>
  <c r="G25" i="10" s="1"/>
  <c r="R42" i="12"/>
  <c r="L9" i="8"/>
  <c r="M9" i="8"/>
  <c r="AA10" i="12"/>
  <c r="G13" i="10" s="1"/>
  <c r="D42" i="12"/>
  <c r="M5" i="8"/>
  <c r="L5" i="8"/>
  <c r="D37" i="12"/>
  <c r="AA5" i="12"/>
  <c r="D27" i="10"/>
  <c r="D30" i="10"/>
  <c r="E30" i="10"/>
  <c r="AA20" i="12"/>
  <c r="Z20" i="12" s="1"/>
  <c r="G19" i="10" s="1"/>
  <c r="K42" i="12"/>
  <c r="L7" i="8"/>
  <c r="M7" i="8"/>
  <c r="K37" i="12"/>
  <c r="AA15" i="12"/>
  <c r="Z15" i="12" s="1"/>
  <c r="G16" i="10" s="1"/>
  <c r="M6" i="8"/>
  <c r="L6" i="8"/>
  <c r="E27" i="10"/>
  <c r="T10" i="12"/>
  <c r="S10" i="12" s="1"/>
  <c r="F13" i="10" s="1"/>
  <c r="D32" i="12"/>
  <c r="I5" i="8"/>
  <c r="J5" i="8"/>
  <c r="D24" i="10"/>
  <c r="D21" i="10"/>
  <c r="T5" i="12"/>
  <c r="S5" i="12" s="1"/>
  <c r="D27" i="12"/>
  <c r="I4" i="8"/>
  <c r="J4" i="8"/>
  <c r="E24" i="10"/>
  <c r="E21" i="10"/>
  <c r="T15" i="12"/>
  <c r="S15" i="12" s="1"/>
  <c r="F16" i="10" s="1"/>
  <c r="K27" i="12"/>
  <c r="J6" i="8"/>
  <c r="I6" i="8"/>
  <c r="T20" i="12"/>
  <c r="F19" i="10" s="1"/>
  <c r="K32" i="12"/>
  <c r="I7" i="8"/>
  <c r="J7" i="8"/>
  <c r="AO30" i="12"/>
  <c r="AN30" i="12" s="1"/>
  <c r="I25" i="10" s="1"/>
  <c r="R62" i="12"/>
  <c r="S9" i="8"/>
  <c r="R9" i="8"/>
  <c r="F39" i="10"/>
  <c r="AO25" i="12"/>
  <c r="R57" i="12"/>
  <c r="F42" i="10"/>
  <c r="AO10" i="12"/>
  <c r="I13" i="10" s="1"/>
  <c r="D62" i="12"/>
  <c r="R5" i="8"/>
  <c r="S5" i="8"/>
  <c r="D42" i="10"/>
  <c r="D39" i="10"/>
  <c r="D57" i="12"/>
  <c r="AO5" i="12"/>
  <c r="AO35" i="12"/>
  <c r="Y57" i="12"/>
  <c r="G39" i="10"/>
  <c r="AO40" i="12"/>
  <c r="AN40" i="12" s="1"/>
  <c r="I31" i="10" s="1"/>
  <c r="Y62" i="12"/>
  <c r="S11" i="8"/>
  <c r="R11" i="8"/>
  <c r="G42" i="10"/>
  <c r="AO15" i="12"/>
  <c r="AN15" i="12" s="1"/>
  <c r="I16" i="10" s="1"/>
  <c r="K57" i="12"/>
  <c r="S6" i="8"/>
  <c r="R6" i="8"/>
  <c r="E42" i="10"/>
  <c r="E39" i="10"/>
  <c r="K62" i="12"/>
  <c r="AO20" i="12"/>
  <c r="AO45" i="12"/>
  <c r="AN45" i="12" s="1"/>
  <c r="I34" i="10" s="1"/>
  <c r="AF57" i="12"/>
  <c r="S12" i="8"/>
  <c r="R12" i="8"/>
  <c r="H39" i="10"/>
  <c r="AO50" i="12"/>
  <c r="I37" i="10" s="1"/>
  <c r="AF62" i="12"/>
  <c r="S13" i="8"/>
  <c r="R13" i="8"/>
  <c r="H42" i="10"/>
  <c r="D18" i="10"/>
  <c r="M5" i="12"/>
  <c r="D17" i="12"/>
  <c r="M10" i="12"/>
  <c r="E13" i="10" s="1"/>
  <c r="D22" i="12"/>
  <c r="F5" i="8"/>
  <c r="G5" i="8"/>
  <c r="D15" i="10"/>
  <c r="R77" i="12"/>
  <c r="BC25" i="12"/>
  <c r="F51" i="10"/>
  <c r="F54" i="10"/>
  <c r="BC30" i="12"/>
  <c r="BB30" i="12" s="1"/>
  <c r="K25" i="10" s="1"/>
  <c r="R82" i="12"/>
  <c r="X9" i="8"/>
  <c r="Y9" i="8"/>
  <c r="BC5" i="12"/>
  <c r="BB5" i="12" s="1"/>
  <c r="D77" i="12"/>
  <c r="X4" i="8"/>
  <c r="Y4" i="8"/>
  <c r="D51" i="10"/>
  <c r="BC10" i="12"/>
  <c r="BB10" i="12" s="1"/>
  <c r="K13" i="10" s="1"/>
  <c r="D82" i="12"/>
  <c r="X5" i="8"/>
  <c r="Y5" i="8"/>
  <c r="D54" i="10"/>
  <c r="G54" i="10"/>
  <c r="BC35" i="12"/>
  <c r="Y77" i="12"/>
  <c r="BC40" i="12"/>
  <c r="BB40" i="12" s="1"/>
  <c r="K31" i="10" s="1"/>
  <c r="Y82" i="12"/>
  <c r="X11" i="8"/>
  <c r="Y11" i="8"/>
  <c r="G51" i="10"/>
  <c r="K82" i="12"/>
  <c r="BC20" i="12"/>
  <c r="K19" i="10"/>
  <c r="X7" i="8"/>
  <c r="Y7" i="8"/>
  <c r="E51" i="10"/>
  <c r="E54" i="10"/>
  <c r="BC15" i="12"/>
  <c r="BB15" i="12" s="1"/>
  <c r="K16" i="10" s="1"/>
  <c r="K77" i="12"/>
  <c r="Y6" i="8"/>
  <c r="X6" i="8"/>
  <c r="BC65" i="12"/>
  <c r="BB65" i="12" s="1"/>
  <c r="K46" i="10" s="1"/>
  <c r="AT77" i="12"/>
  <c r="X16" i="8"/>
  <c r="Y16" i="8"/>
  <c r="J51" i="10"/>
  <c r="J54" i="10"/>
  <c r="AT82" i="12"/>
  <c r="BC70" i="12"/>
  <c r="K49" i="10" s="1"/>
  <c r="Y17" i="8"/>
  <c r="X17" i="8"/>
  <c r="BC60" i="12"/>
  <c r="BB60" i="12" s="1"/>
  <c r="K43" i="10" s="1"/>
  <c r="AM82" i="12"/>
  <c r="Y15" i="8"/>
  <c r="X15" i="8"/>
  <c r="I54" i="10"/>
  <c r="I51" i="10"/>
  <c r="BC55" i="12"/>
  <c r="AM77" i="12"/>
  <c r="Y13" i="8"/>
  <c r="X13" i="8"/>
  <c r="AF82" i="12"/>
  <c r="BC50" i="12"/>
  <c r="K37" i="10" s="1"/>
  <c r="H51" i="10"/>
  <c r="BC45" i="12"/>
  <c r="BB45" i="12" s="1"/>
  <c r="K34" i="10" s="1"/>
  <c r="AF77" i="12"/>
  <c r="X12" i="8"/>
  <c r="Y12" i="8"/>
  <c r="H54" i="10"/>
  <c r="AV30" i="12"/>
  <c r="AU30" i="12" s="1"/>
  <c r="J25" i="10" s="1"/>
  <c r="R72" i="12"/>
  <c r="U9" i="8"/>
  <c r="V9" i="8"/>
  <c r="AV25" i="12"/>
  <c r="AU25" i="12" s="1"/>
  <c r="J22" i="10" s="1"/>
  <c r="R67" i="12"/>
  <c r="U8" i="8"/>
  <c r="V8" i="8"/>
  <c r="F48" i="10"/>
  <c r="F45" i="10"/>
  <c r="AV10" i="12"/>
  <c r="AU10" i="12" s="1"/>
  <c r="J13" i="10" s="1"/>
  <c r="D72" i="12"/>
  <c r="U5" i="8"/>
  <c r="V5" i="8"/>
  <c r="D45" i="10"/>
  <c r="AV5" i="12"/>
  <c r="D67" i="12"/>
  <c r="D48" i="10"/>
  <c r="AV40" i="12"/>
  <c r="J31" i="10" s="1"/>
  <c r="Y72" i="12"/>
  <c r="U11" i="8"/>
  <c r="V11" i="8"/>
  <c r="G45" i="10"/>
  <c r="AV35" i="12"/>
  <c r="Y67" i="12"/>
  <c r="G48" i="10"/>
  <c r="E48" i="10"/>
  <c r="E45" i="10"/>
  <c r="K67" i="12"/>
  <c r="AV15" i="12"/>
  <c r="AV20" i="12"/>
  <c r="AU20" i="12" s="1"/>
  <c r="J19" i="10" s="1"/>
  <c r="K72" i="12"/>
  <c r="V7" i="8"/>
  <c r="U7" i="8"/>
  <c r="AV60" i="12"/>
  <c r="AM72" i="12"/>
  <c r="U15" i="8"/>
  <c r="V15" i="8"/>
  <c r="J43" i="10"/>
  <c r="I48" i="10"/>
  <c r="AM67" i="12"/>
  <c r="AV55" i="12"/>
  <c r="I45" i="10"/>
  <c r="AV50" i="12"/>
  <c r="AU50" i="12" s="1"/>
  <c r="J37" i="10" s="1"/>
  <c r="AF72" i="12"/>
  <c r="U13" i="8"/>
  <c r="V13" i="8"/>
  <c r="H48" i="10"/>
  <c r="AV45" i="12"/>
  <c r="AF67" i="12"/>
  <c r="H45" i="10"/>
  <c r="AH25" i="12"/>
  <c r="R47" i="12"/>
  <c r="R52" i="12"/>
  <c r="AH30" i="12"/>
  <c r="O9" i="8"/>
  <c r="P9" i="8"/>
  <c r="H25" i="10"/>
  <c r="F36" i="10"/>
  <c r="F33" i="10"/>
  <c r="D36" i="10"/>
  <c r="AH5" i="12"/>
  <c r="D47" i="12"/>
  <c r="AH10" i="12"/>
  <c r="AG10" i="12" s="1"/>
  <c r="H13" i="10" s="1"/>
  <c r="D52" i="12"/>
  <c r="O5" i="8"/>
  <c r="P5" i="8"/>
  <c r="D33" i="10"/>
  <c r="G33" i="10"/>
  <c r="AH40" i="12"/>
  <c r="AG40" i="12" s="1"/>
  <c r="H31" i="10" s="1"/>
  <c r="Y52" i="12"/>
  <c r="O11" i="8"/>
  <c r="P11" i="8"/>
  <c r="G36" i="10"/>
  <c r="Y47" i="12"/>
  <c r="AH35" i="12"/>
  <c r="E33" i="10"/>
  <c r="AH20" i="12"/>
  <c r="AG20" i="12" s="1"/>
  <c r="H19" i="10" s="1"/>
  <c r="K52" i="12"/>
  <c r="P7" i="8"/>
  <c r="O7" i="8"/>
  <c r="E36" i="10"/>
  <c r="AH15" i="12"/>
  <c r="AG15" i="12" s="1"/>
  <c r="H16" i="10" s="1"/>
  <c r="K47" i="12"/>
  <c r="P6" i="8"/>
  <c r="O6" i="8"/>
  <c r="I45" i="12" l="1"/>
  <c r="E12" i="8" s="1"/>
  <c r="L45" i="12"/>
  <c r="E34" i="10" s="1"/>
  <c r="I50" i="12"/>
  <c r="E13" i="8" s="1"/>
  <c r="L50" i="12"/>
  <c r="E37" i="10" s="1"/>
  <c r="AG35" i="12"/>
  <c r="P10" i="8"/>
  <c r="W45" i="12"/>
  <c r="K12" i="8" s="1"/>
  <c r="Z45" i="12"/>
  <c r="G34" i="10" s="1"/>
  <c r="W50" i="12"/>
  <c r="K13" i="8" s="1"/>
  <c r="Z50" i="12"/>
  <c r="G37" i="10" s="1"/>
  <c r="B50" i="12"/>
  <c r="B13" i="8" s="1"/>
  <c r="E50" i="12"/>
  <c r="D37" i="10" s="1"/>
  <c r="B45" i="12"/>
  <c r="B12" i="8" s="1"/>
  <c r="E45" i="12"/>
  <c r="D34" i="10" s="1"/>
  <c r="AG5" i="12"/>
  <c r="P4" i="8"/>
  <c r="P50" i="12"/>
  <c r="H13" i="8" s="1"/>
  <c r="S50" i="12"/>
  <c r="F37" i="10" s="1"/>
  <c r="P45" i="12"/>
  <c r="H12" i="8" s="1"/>
  <c r="S45" i="12"/>
  <c r="F34" i="10" s="1"/>
  <c r="AG25" i="12"/>
  <c r="P8" i="8"/>
  <c r="AD65" i="12"/>
  <c r="N16" i="8" s="1"/>
  <c r="AG65" i="12"/>
  <c r="H46" i="10" s="1"/>
  <c r="AU45" i="12"/>
  <c r="V12" i="8"/>
  <c r="AD70" i="12"/>
  <c r="N17" i="8" s="1"/>
  <c r="AG70" i="12"/>
  <c r="H49" i="10" s="1"/>
  <c r="AU55" i="12"/>
  <c r="V14" i="8"/>
  <c r="AK65" i="12"/>
  <c r="Q16" i="8" s="1"/>
  <c r="AN65" i="12"/>
  <c r="I46" i="10" s="1"/>
  <c r="AN70" i="12"/>
  <c r="AK70" i="12"/>
  <c r="Q17" i="8" s="1"/>
  <c r="I70" i="12"/>
  <c r="E17" i="8" s="1"/>
  <c r="L70" i="12"/>
  <c r="E49" i="10" s="1"/>
  <c r="AU15" i="12"/>
  <c r="V6" i="8"/>
  <c r="I65" i="12"/>
  <c r="E16" i="8" s="1"/>
  <c r="L65" i="12"/>
  <c r="E46" i="10" s="1"/>
  <c r="W65" i="12"/>
  <c r="K16" i="8" s="1"/>
  <c r="Z65" i="12"/>
  <c r="G46" i="10" s="1"/>
  <c r="AU35" i="12"/>
  <c r="V10" i="8"/>
  <c r="W70" i="12"/>
  <c r="K17" i="8" s="1"/>
  <c r="Z70" i="12"/>
  <c r="G49" i="10" s="1"/>
  <c r="B65" i="12"/>
  <c r="B16" i="8" s="1"/>
  <c r="E65" i="12"/>
  <c r="D46" i="10" s="1"/>
  <c r="AU5" i="12"/>
  <c r="V4" i="8"/>
  <c r="B70" i="12"/>
  <c r="B17" i="8" s="1"/>
  <c r="E70" i="12"/>
  <c r="D49" i="10" s="1"/>
  <c r="P65" i="12"/>
  <c r="H16" i="8" s="1"/>
  <c r="S65" i="12"/>
  <c r="F46" i="10" s="1"/>
  <c r="P70" i="12"/>
  <c r="H17" i="8" s="1"/>
  <c r="S70" i="12"/>
  <c r="F49" i="10" s="1"/>
  <c r="AD75" i="12"/>
  <c r="N18" i="8" s="1"/>
  <c r="AG75" i="12"/>
  <c r="H52" i="10" s="1"/>
  <c r="AD80" i="12"/>
  <c r="N19" i="8" s="1"/>
  <c r="AG80" i="12"/>
  <c r="H55" i="10" s="1"/>
  <c r="AK75" i="12"/>
  <c r="Q18" i="8" s="1"/>
  <c r="AN75" i="12"/>
  <c r="I52" i="10" s="1"/>
  <c r="BB55" i="12"/>
  <c r="Y14" i="8"/>
  <c r="AK80" i="12"/>
  <c r="Q19" i="8" s="1"/>
  <c r="AN80" i="12"/>
  <c r="I55" i="10" s="1"/>
  <c r="AU80" i="12"/>
  <c r="AR80" i="12"/>
  <c r="T19" i="8" s="1"/>
  <c r="AR75" i="12"/>
  <c r="T18" i="8" s="1"/>
  <c r="AU75" i="12"/>
  <c r="J52" i="10" s="1"/>
  <c r="I75" i="12"/>
  <c r="E18" i="8" s="1"/>
  <c r="L75" i="12"/>
  <c r="E52" i="10" s="1"/>
  <c r="L80" i="12"/>
  <c r="I80" i="12"/>
  <c r="E19" i="8" s="1"/>
  <c r="W80" i="12"/>
  <c r="K19" i="8" s="1"/>
  <c r="Z80" i="12"/>
  <c r="G55" i="10" s="1"/>
  <c r="W75" i="12"/>
  <c r="K18" i="8" s="1"/>
  <c r="Z75" i="12"/>
  <c r="G52" i="10" s="1"/>
  <c r="BB35" i="12"/>
  <c r="Y10" i="8"/>
  <c r="B80" i="12"/>
  <c r="B19" i="8" s="1"/>
  <c r="E80" i="12"/>
  <c r="D55" i="10" s="1"/>
  <c r="B75" i="12"/>
  <c r="B18" i="8" s="1"/>
  <c r="E75" i="12"/>
  <c r="D52" i="10" s="1"/>
  <c r="K10" i="10"/>
  <c r="P80" i="12"/>
  <c r="H19" i="8" s="1"/>
  <c r="S80" i="12"/>
  <c r="F55" i="10" s="1"/>
  <c r="BB25" i="12"/>
  <c r="Y8" i="8"/>
  <c r="P75" i="12"/>
  <c r="H18" i="8" s="1"/>
  <c r="S75" i="12"/>
  <c r="F52" i="10" s="1"/>
  <c r="E20" i="12"/>
  <c r="B20" i="12"/>
  <c r="B7" i="8" s="1"/>
  <c r="B15" i="12"/>
  <c r="B6" i="8" s="1"/>
  <c r="E15" i="12"/>
  <c r="L5" i="12"/>
  <c r="G4" i="8"/>
  <c r="AD60" i="12"/>
  <c r="N15" i="8" s="1"/>
  <c r="AG60" i="12"/>
  <c r="H43" i="10" s="1"/>
  <c r="AD55" i="12"/>
  <c r="N14" i="8" s="1"/>
  <c r="AG55" i="12"/>
  <c r="H40" i="10" s="1"/>
  <c r="AN20" i="12"/>
  <c r="S7" i="8"/>
  <c r="I60" i="12"/>
  <c r="E15" i="8" s="1"/>
  <c r="L60" i="12"/>
  <c r="E43" i="10" s="1"/>
  <c r="I55" i="12"/>
  <c r="E14" i="8" s="1"/>
  <c r="L55" i="12"/>
  <c r="E40" i="10" s="1"/>
  <c r="W60" i="12"/>
  <c r="K15" i="8" s="1"/>
  <c r="Z60" i="12"/>
  <c r="G43" i="10" s="1"/>
  <c r="W55" i="12"/>
  <c r="K14" i="8" s="1"/>
  <c r="Z55" i="12"/>
  <c r="G40" i="10" s="1"/>
  <c r="AN35" i="12"/>
  <c r="S10" i="8"/>
  <c r="AN5" i="12"/>
  <c r="S4" i="8"/>
  <c r="B55" i="12"/>
  <c r="B14" i="8" s="1"/>
  <c r="E55" i="12"/>
  <c r="D40" i="10" s="1"/>
  <c r="B60" i="12"/>
  <c r="B15" i="8" s="1"/>
  <c r="E60" i="12"/>
  <c r="D43" i="10" s="1"/>
  <c r="P55" i="12"/>
  <c r="H14" i="8" s="1"/>
  <c r="S55" i="12"/>
  <c r="F40" i="10" s="1"/>
  <c r="AN25" i="12"/>
  <c r="S8" i="8"/>
  <c r="P60" i="12"/>
  <c r="H15" i="8" s="1"/>
  <c r="S60" i="12"/>
  <c r="F43" i="10" s="1"/>
  <c r="I30" i="12"/>
  <c r="E9" i="8" s="1"/>
  <c r="L30" i="12"/>
  <c r="E25" i="10" s="1"/>
  <c r="I25" i="12"/>
  <c r="E8" i="8" s="1"/>
  <c r="L25" i="12"/>
  <c r="E22" i="10" s="1"/>
  <c r="B25" i="12"/>
  <c r="B8" i="8" s="1"/>
  <c r="E25" i="12"/>
  <c r="D22" i="10" s="1"/>
  <c r="F10" i="10"/>
  <c r="B30" i="12"/>
  <c r="B9" i="8" s="1"/>
  <c r="E30" i="12"/>
  <c r="D25" i="10" s="1"/>
  <c r="I35" i="12"/>
  <c r="E10" i="8" s="1"/>
  <c r="L35" i="12"/>
  <c r="E28" i="10" s="1"/>
  <c r="I40" i="12"/>
  <c r="E11" i="8" s="1"/>
  <c r="L40" i="12"/>
  <c r="E31" i="10" s="1"/>
  <c r="Z5" i="12"/>
  <c r="M4" i="8"/>
  <c r="B35" i="12"/>
  <c r="B10" i="8" s="1"/>
  <c r="E35" i="12"/>
  <c r="D28" i="10" s="1"/>
  <c r="B40" i="12"/>
  <c r="B11" i="8" s="1"/>
  <c r="E40" i="12"/>
  <c r="D31" i="10" s="1"/>
  <c r="P40" i="12"/>
  <c r="H11" i="8" s="1"/>
  <c r="S40" i="12"/>
  <c r="F31" i="10" s="1"/>
  <c r="Z25" i="12"/>
  <c r="M8" i="8"/>
  <c r="P35" i="12"/>
  <c r="H10" i="8" s="1"/>
  <c r="S35" i="12"/>
  <c r="F28" i="10" l="1"/>
  <c r="BF25" i="12"/>
  <c r="J10" i="8"/>
  <c r="I10" i="8"/>
  <c r="G22" i="10"/>
  <c r="L8" i="8"/>
  <c r="J11" i="8"/>
  <c r="I11" i="8"/>
  <c r="D11" i="8"/>
  <c r="C11" i="8"/>
  <c r="D10" i="8"/>
  <c r="C10" i="8"/>
  <c r="G10" i="10"/>
  <c r="BF35" i="12"/>
  <c r="L4" i="8"/>
  <c r="G11" i="8"/>
  <c r="F11" i="8"/>
  <c r="G10" i="8"/>
  <c r="F10" i="8"/>
  <c r="D9" i="8"/>
  <c r="C9" i="8"/>
  <c r="D8" i="8"/>
  <c r="C8" i="8"/>
  <c r="G8" i="8"/>
  <c r="F8" i="8"/>
  <c r="F9" i="8"/>
  <c r="G9" i="8"/>
  <c r="J15" i="8"/>
  <c r="I15" i="8"/>
  <c r="I22" i="10"/>
  <c r="R8" i="8"/>
  <c r="J14" i="8"/>
  <c r="I14" i="8"/>
  <c r="C15" i="8"/>
  <c r="D15" i="8"/>
  <c r="D14" i="8"/>
  <c r="C14" i="8"/>
  <c r="BF55" i="12"/>
  <c r="I10" i="10"/>
  <c r="R4" i="8"/>
  <c r="I28" i="10"/>
  <c r="R10" i="8"/>
  <c r="M14" i="8"/>
  <c r="L14" i="8"/>
  <c r="L15" i="8"/>
  <c r="M15" i="8"/>
  <c r="G14" i="8"/>
  <c r="F14" i="8"/>
  <c r="G15" i="8"/>
  <c r="F15" i="8"/>
  <c r="I19" i="10"/>
  <c r="R7" i="8"/>
  <c r="P14" i="8"/>
  <c r="O14" i="8"/>
  <c r="O15" i="8"/>
  <c r="P15" i="8"/>
  <c r="E10" i="10"/>
  <c r="BF15" i="12"/>
  <c r="F4" i="8"/>
  <c r="BF5" i="12"/>
  <c r="D16" i="10"/>
  <c r="D6" i="8"/>
  <c r="C6" i="8"/>
  <c r="D7" i="8"/>
  <c r="C7" i="8"/>
  <c r="D19" i="10"/>
  <c r="J18" i="8"/>
  <c r="I18" i="8"/>
  <c r="K22" i="10"/>
  <c r="X8" i="8"/>
  <c r="BF75" i="12"/>
  <c r="I19" i="8"/>
  <c r="J19" i="8"/>
  <c r="D18" i="8"/>
  <c r="C18" i="8"/>
  <c r="C19" i="8"/>
  <c r="D19" i="8"/>
  <c r="K28" i="10"/>
  <c r="X10" i="8"/>
  <c r="M18" i="8"/>
  <c r="L18" i="8"/>
  <c r="L19" i="8"/>
  <c r="M19" i="8"/>
  <c r="F19" i="8"/>
  <c r="G19" i="8"/>
  <c r="E55" i="10"/>
  <c r="G18" i="8"/>
  <c r="F18" i="8"/>
  <c r="V18" i="8"/>
  <c r="U18" i="8"/>
  <c r="U19" i="8"/>
  <c r="V19" i="8"/>
  <c r="J55" i="10"/>
  <c r="R19" i="8"/>
  <c r="S19" i="8"/>
  <c r="K40" i="10"/>
  <c r="X14" i="8"/>
  <c r="S18" i="8"/>
  <c r="R18" i="8"/>
  <c r="O19" i="8"/>
  <c r="P19" i="8"/>
  <c r="P18" i="8"/>
  <c r="O18" i="8"/>
  <c r="J17" i="8"/>
  <c r="I17" i="8"/>
  <c r="I16" i="8"/>
  <c r="J16" i="8"/>
  <c r="C17" i="8"/>
  <c r="D17" i="8"/>
  <c r="BF65" i="12"/>
  <c r="J10" i="10"/>
  <c r="U4" i="8"/>
  <c r="D16" i="8"/>
  <c r="C16" i="8"/>
  <c r="L17" i="8"/>
  <c r="M17" i="8"/>
  <c r="J28" i="10"/>
  <c r="U10" i="8"/>
  <c r="M16" i="8"/>
  <c r="L16" i="8"/>
  <c r="G16" i="8"/>
  <c r="F16" i="8"/>
  <c r="J16" i="10"/>
  <c r="U6" i="8"/>
  <c r="F17" i="8"/>
  <c r="G17" i="8"/>
  <c r="S17" i="8"/>
  <c r="R17" i="8"/>
  <c r="I49" i="10"/>
  <c r="S16" i="8"/>
  <c r="R16" i="8"/>
  <c r="J40" i="10"/>
  <c r="U14" i="8"/>
  <c r="O17" i="8"/>
  <c r="P17" i="8"/>
  <c r="J34" i="10"/>
  <c r="U12" i="8"/>
  <c r="P16" i="8"/>
  <c r="O16" i="8"/>
  <c r="H22" i="10"/>
  <c r="O8" i="8"/>
  <c r="J12" i="8"/>
  <c r="I12" i="8"/>
  <c r="J13" i="8"/>
  <c r="I13" i="8"/>
  <c r="H10" i="10"/>
  <c r="O4" i="8"/>
  <c r="BF45" i="12"/>
  <c r="D12" i="8"/>
  <c r="C12" i="8"/>
  <c r="D13" i="8"/>
  <c r="C13" i="8"/>
  <c r="M13" i="8"/>
  <c r="L13" i="8"/>
  <c r="M12" i="8"/>
  <c r="L12" i="8"/>
  <c r="H28" i="10"/>
  <c r="O10" i="8"/>
  <c r="G13" i="8"/>
  <c r="F13" i="8"/>
  <c r="G12" i="8"/>
  <c r="F12" i="8"/>
  <c r="BH45" i="12" l="1"/>
  <c r="AB12" i="8" s="1"/>
  <c r="BG45" i="12"/>
  <c r="AA12" i="8" s="1"/>
  <c r="Z12" i="8"/>
  <c r="BI45" i="12"/>
  <c r="AC12" i="8" s="1"/>
  <c r="BK45" i="12"/>
  <c r="Z16" i="8"/>
  <c r="BH65" i="12"/>
  <c r="AB16" i="8" s="1"/>
  <c r="BG65" i="12"/>
  <c r="AA16" i="8" s="1"/>
  <c r="BI65" i="12"/>
  <c r="AC16" i="8" s="1"/>
  <c r="BK65" i="12"/>
  <c r="BH75" i="12"/>
  <c r="AB18" i="8" s="1"/>
  <c r="Z18" i="8"/>
  <c r="BG75" i="12"/>
  <c r="AA18" i="8" s="1"/>
  <c r="BI75" i="12"/>
  <c r="AC18" i="8" s="1"/>
  <c r="BK75" i="12"/>
  <c r="BH5" i="12"/>
  <c r="Z4" i="8"/>
  <c r="BG5" i="12"/>
  <c r="BI5" i="12"/>
  <c r="BK5" i="12"/>
  <c r="Z6" i="8"/>
  <c r="BG15" i="12"/>
  <c r="AA6" i="8" s="1"/>
  <c r="BH15" i="12"/>
  <c r="AB6" i="8" s="1"/>
  <c r="BI15" i="12"/>
  <c r="AC6" i="8" s="1"/>
  <c r="BK15" i="12"/>
  <c r="BG55" i="12"/>
  <c r="AA14" i="8" s="1"/>
  <c r="Z14" i="8"/>
  <c r="BH55" i="12"/>
  <c r="AB14" i="8" s="1"/>
  <c r="BI55" i="12"/>
  <c r="AC14" i="8" s="1"/>
  <c r="BK55" i="12"/>
  <c r="Z10" i="8"/>
  <c r="BG35" i="12"/>
  <c r="AA10" i="8" s="1"/>
  <c r="BH35" i="12"/>
  <c r="AB10" i="8" s="1"/>
  <c r="BI35" i="12"/>
  <c r="AC10" i="8" s="1"/>
  <c r="BK35" i="12"/>
  <c r="Z8" i="8"/>
  <c r="BH25" i="12"/>
  <c r="AB8" i="8" s="1"/>
  <c r="BG25" i="12"/>
  <c r="AA8" i="8" s="1"/>
  <c r="BI25" i="12"/>
  <c r="AC8" i="8" s="1"/>
  <c r="BK25" i="12"/>
  <c r="BJ25" i="12"/>
  <c r="AD8" i="8" s="1"/>
  <c r="BJ15" i="12" l="1"/>
  <c r="AD6" i="8" s="1"/>
  <c r="BJ55" i="12"/>
  <c r="AD14" i="8" s="1"/>
  <c r="BJ35" i="12"/>
  <c r="AD10" i="8" s="1"/>
  <c r="BJ5" i="12"/>
  <c r="AD4" i="8" s="1"/>
  <c r="BJ45" i="12"/>
  <c r="AD12" i="8" s="1"/>
  <c r="BJ65" i="12"/>
  <c r="AD16" i="8" s="1"/>
  <c r="BJ75" i="12"/>
  <c r="AD18" i="8" s="1"/>
  <c r="BI85" i="12"/>
  <c r="AC20" i="8" s="1"/>
  <c r="BG85" i="12"/>
  <c r="AA20" i="8" s="1"/>
  <c r="AA4" i="8"/>
  <c r="AB4" i="8" s="1"/>
  <c r="AC4" i="8" s="1"/>
  <c r="BH85" i="12"/>
  <c r="AB20" i="8" s="1"/>
</calcChain>
</file>

<file path=xl/sharedStrings.xml><?xml version="1.0" encoding="utf-8"?>
<sst xmlns="http://schemas.openxmlformats.org/spreadsheetml/2006/main" count="1134" uniqueCount="275">
  <si>
    <t>【日程記入シート】</t>
    <phoneticPr fontId="2"/>
  </si>
  <si>
    <t>※年度→</t>
    <rPh sb="1" eb="3">
      <t>ネンド</t>
    </rPh>
    <phoneticPr fontId="2"/>
  </si>
  <si>
    <t>※チーム数→</t>
    <rPh sb="4" eb="5">
      <t>スウ</t>
    </rPh>
    <phoneticPr fontId="2"/>
  </si>
  <si>
    <t>選択</t>
    <rPh sb="0" eb="2">
      <t>センタク</t>
    </rPh>
    <phoneticPr fontId="2"/>
  </si>
  <si>
    <t>記入</t>
    <rPh sb="0" eb="2">
      <t>キニュウ</t>
    </rPh>
    <phoneticPr fontId="2"/>
  </si>
  <si>
    <t>確認</t>
    <rPh sb="0" eb="2">
      <t>カクニン</t>
    </rPh>
    <phoneticPr fontId="2"/>
  </si>
  <si>
    <t>〔手順１〕　〈リーグ名〉を</t>
    <rPh sb="1" eb="3">
      <t>テジュン</t>
    </rPh>
    <rPh sb="10" eb="11">
      <t>ナ</t>
    </rPh>
    <phoneticPr fontId="2"/>
  </si>
  <si>
    <t>トップ</t>
  </si>
  <si>
    <t>　に選択入力し、使用するチーム名称を入力</t>
    <rPh sb="2" eb="4">
      <t>センタク</t>
    </rPh>
    <rPh sb="4" eb="6">
      <t>ニュウリョク</t>
    </rPh>
    <rPh sb="8" eb="10">
      <t>シヨウ</t>
    </rPh>
    <rPh sb="15" eb="17">
      <t>メイショウ</t>
    </rPh>
    <rPh sb="18" eb="20">
      <t>ニュウリョク</t>
    </rPh>
    <phoneticPr fontId="2"/>
  </si>
  <si>
    <t>チーム番号→</t>
    <rPh sb="3" eb="5">
      <t>バンゴウ</t>
    </rPh>
    <phoneticPr fontId="2"/>
  </si>
  <si>
    <t>使用名称→</t>
    <rPh sb="0" eb="2">
      <t>シヨウ</t>
    </rPh>
    <rPh sb="2" eb="4">
      <t>メイショウ</t>
    </rPh>
    <phoneticPr fontId="2"/>
  </si>
  <si>
    <t>ツエーゲン
金沢U-15
1st</t>
    <rPh sb="6" eb="8">
      <t>カナザワ</t>
    </rPh>
    <phoneticPr fontId="2"/>
  </si>
  <si>
    <t>セブン能登
1st</t>
    <rPh sb="3" eb="5">
      <t>ノト</t>
    </rPh>
    <phoneticPr fontId="2"/>
  </si>
  <si>
    <t>星稜中学校</t>
    <rPh sb="0" eb="1">
      <t>セイ</t>
    </rPh>
    <rPh sb="1" eb="2">
      <t>リョウ</t>
    </rPh>
    <rPh sb="2" eb="5">
      <t>チュウガッコウ</t>
    </rPh>
    <phoneticPr fontId="2"/>
  </si>
  <si>
    <t>Riopedra
加賀FC</t>
    <rPh sb="9" eb="11">
      <t>カガ</t>
    </rPh>
    <phoneticPr fontId="2"/>
  </si>
  <si>
    <t>FC小松
1st</t>
    <rPh sb="2" eb="4">
      <t>コマツ</t>
    </rPh>
    <phoneticPr fontId="2"/>
  </si>
  <si>
    <t>FC.
SOUTHERN
1st</t>
    <phoneticPr fontId="2"/>
  </si>
  <si>
    <t>ヘミニス
金沢FC
1st</t>
    <rPh sb="5" eb="7">
      <t>カナザワ</t>
    </rPh>
    <phoneticPr fontId="2"/>
  </si>
  <si>
    <t>テイヘンズ
FC　1st</t>
    <phoneticPr fontId="2"/>
  </si>
  <si>
    <t>←全角５文字
を超えたら、
Alt+Enter
で改行する</t>
    <rPh sb="1" eb="3">
      <t>ゼンカク</t>
    </rPh>
    <rPh sb="4" eb="6">
      <t>モジ</t>
    </rPh>
    <rPh sb="8" eb="9">
      <t>コ</t>
    </rPh>
    <rPh sb="25" eb="27">
      <t>カイギョウ</t>
    </rPh>
    <phoneticPr fontId="2"/>
  </si>
  <si>
    <t>審判割り用略称→</t>
    <rPh sb="0" eb="2">
      <t>シンパン</t>
    </rPh>
    <rPh sb="2" eb="3">
      <t>ワ</t>
    </rPh>
    <rPh sb="4" eb="5">
      <t>ヨウ</t>
    </rPh>
    <rPh sb="5" eb="7">
      <t>リャクショウ</t>
    </rPh>
    <phoneticPr fontId="2"/>
  </si>
  <si>
    <t>ﾂｴｰｹﾞﾝ1st</t>
    <phoneticPr fontId="2"/>
  </si>
  <si>
    <t>セブン1st</t>
    <phoneticPr fontId="2"/>
  </si>
  <si>
    <t>星稜中</t>
    <rPh sb="0" eb="1">
      <t>セイ</t>
    </rPh>
    <rPh sb="1" eb="2">
      <t>リョウ</t>
    </rPh>
    <rPh sb="2" eb="3">
      <t>ナカ</t>
    </rPh>
    <phoneticPr fontId="2"/>
  </si>
  <si>
    <t>Riopedra</t>
    <phoneticPr fontId="2"/>
  </si>
  <si>
    <t>FC小松1st</t>
    <rPh sb="2" eb="4">
      <t>コマツ</t>
    </rPh>
    <phoneticPr fontId="2"/>
  </si>
  <si>
    <t>サザン1st</t>
    <phoneticPr fontId="2"/>
  </si>
  <si>
    <t>ﾍﾐﾆｽ1st</t>
    <phoneticPr fontId="2"/>
  </si>
  <si>
    <t>ﾃｲﾍﾝｽﾞ1st</t>
    <phoneticPr fontId="2"/>
  </si>
  <si>
    <t>〔手順２〕　使用会場名と会場略称の未入力分を【会場一覧表】に入力</t>
    <rPh sb="1" eb="3">
      <t>テジュン</t>
    </rPh>
    <rPh sb="6" eb="8">
      <t>シヨウ</t>
    </rPh>
    <rPh sb="8" eb="10">
      <t>カイジョウ</t>
    </rPh>
    <rPh sb="10" eb="11">
      <t>メイ</t>
    </rPh>
    <rPh sb="12" eb="14">
      <t>カイジョウ</t>
    </rPh>
    <rPh sb="14" eb="16">
      <t>リャクショウ</t>
    </rPh>
    <rPh sb="17" eb="18">
      <t>ミ</t>
    </rPh>
    <rPh sb="18" eb="20">
      <t>ニュウリョク</t>
    </rPh>
    <rPh sb="20" eb="21">
      <t>ブン</t>
    </rPh>
    <rPh sb="23" eb="25">
      <t>カイジョウ</t>
    </rPh>
    <rPh sb="25" eb="27">
      <t>イチラン</t>
    </rPh>
    <rPh sb="27" eb="28">
      <t>ヒョウ</t>
    </rPh>
    <rPh sb="30" eb="32">
      <t>ニュウリョク</t>
    </rPh>
    <phoneticPr fontId="2"/>
  </si>
  <si>
    <t>　　開催日以外に試合を行う場合には、【開催日一覧表】の下方に追加記入する</t>
    <rPh sb="2" eb="5">
      <t>カイサイビ</t>
    </rPh>
    <rPh sb="5" eb="7">
      <t>イガイ</t>
    </rPh>
    <rPh sb="8" eb="10">
      <t>シアイ</t>
    </rPh>
    <rPh sb="11" eb="12">
      <t>オコナ</t>
    </rPh>
    <rPh sb="13" eb="15">
      <t>バアイ</t>
    </rPh>
    <rPh sb="19" eb="22">
      <t>カイサイビ</t>
    </rPh>
    <rPh sb="22" eb="25">
      <t>イチランヒョウ</t>
    </rPh>
    <rPh sb="27" eb="28">
      <t>シタ</t>
    </rPh>
    <rPh sb="28" eb="29">
      <t>ホウ</t>
    </rPh>
    <rPh sb="30" eb="32">
      <t>ツイカ</t>
    </rPh>
    <rPh sb="32" eb="34">
      <t>キニュウ</t>
    </rPh>
    <phoneticPr fontId="2"/>
  </si>
  <si>
    <t>〔手順３〕　【対戦一覧表】にマッチ№を記入し、日付をリストから選択入力し、対戦を確認</t>
    <rPh sb="7" eb="9">
      <t>タイセン</t>
    </rPh>
    <rPh sb="9" eb="11">
      <t>イチラン</t>
    </rPh>
    <rPh sb="11" eb="12">
      <t>ヒョウ</t>
    </rPh>
    <rPh sb="19" eb="21">
      <t>キニュウ</t>
    </rPh>
    <rPh sb="23" eb="25">
      <t>ヒヅケ</t>
    </rPh>
    <rPh sb="31" eb="33">
      <t>センタク</t>
    </rPh>
    <rPh sb="33" eb="35">
      <t>ニュウリョク</t>
    </rPh>
    <rPh sb="37" eb="39">
      <t>タイセン</t>
    </rPh>
    <phoneticPr fontId="2"/>
  </si>
  <si>
    <t>マッチ№：左チーム、右チーム、巡目の順に３桁の番号とします。（常に左チーム＜右チームとします）</t>
    <rPh sb="5" eb="6">
      <t>ヒダリ</t>
    </rPh>
    <rPh sb="10" eb="11">
      <t>ミギ</t>
    </rPh>
    <rPh sb="15" eb="16">
      <t>ジュン</t>
    </rPh>
    <rPh sb="16" eb="17">
      <t>メ</t>
    </rPh>
    <rPh sb="18" eb="19">
      <t>ジュン</t>
    </rPh>
    <rPh sb="21" eb="22">
      <t>ケタ</t>
    </rPh>
    <rPh sb="23" eb="25">
      <t>バンゴウ</t>
    </rPh>
    <rPh sb="31" eb="32">
      <t>ツネ</t>
    </rPh>
    <rPh sb="33" eb="34">
      <t>ヒダリ</t>
    </rPh>
    <rPh sb="38" eb="39">
      <t>ミギ</t>
    </rPh>
    <phoneticPr fontId="2"/>
  </si>
  <si>
    <t>（例）</t>
    <rPh sb="1" eb="2">
      <t>レイ</t>
    </rPh>
    <phoneticPr fontId="2"/>
  </si>
  <si>
    <t>チーム番号１とチーム番号３の２巡目の対戦は、”１３２”</t>
    <rPh sb="3" eb="5">
      <t>バンゴウ</t>
    </rPh>
    <rPh sb="10" eb="12">
      <t>バンゴウ</t>
    </rPh>
    <rPh sb="15" eb="16">
      <t>ジュン</t>
    </rPh>
    <rPh sb="16" eb="17">
      <t>メ</t>
    </rPh>
    <rPh sb="18" eb="20">
      <t>タイセン</t>
    </rPh>
    <phoneticPr fontId="2"/>
  </si>
  <si>
    <t>　　会場、開始時間、審判割りを決めたら、順次【対戦一覧表】に追加記入する</t>
    <rPh sb="2" eb="4">
      <t>カイジョウ</t>
    </rPh>
    <rPh sb="5" eb="7">
      <t>カイシ</t>
    </rPh>
    <rPh sb="7" eb="9">
      <t>ジカン</t>
    </rPh>
    <rPh sb="10" eb="12">
      <t>シンパン</t>
    </rPh>
    <rPh sb="12" eb="13">
      <t>ワ</t>
    </rPh>
    <rPh sb="15" eb="16">
      <t>キ</t>
    </rPh>
    <rPh sb="20" eb="22">
      <t>ジュンジ</t>
    </rPh>
    <rPh sb="23" eb="25">
      <t>タイセン</t>
    </rPh>
    <rPh sb="25" eb="28">
      <t>イチランヒョウ</t>
    </rPh>
    <rPh sb="30" eb="32">
      <t>ツイカ</t>
    </rPh>
    <rPh sb="32" eb="34">
      <t>キニュウ</t>
    </rPh>
    <phoneticPr fontId="2"/>
  </si>
  <si>
    <t>〔手順４〕　【対戦確認リーグ表】で対戦を確認・・・・〔表示〕未設定：空欄ｏｒ０、重複設定：ＮＧ</t>
    <rPh sb="7" eb="9">
      <t>タイセン</t>
    </rPh>
    <rPh sb="9" eb="11">
      <t>カクニン</t>
    </rPh>
    <rPh sb="14" eb="15">
      <t>ヒョウ</t>
    </rPh>
    <rPh sb="17" eb="19">
      <t>タイセン</t>
    </rPh>
    <rPh sb="27" eb="29">
      <t>ヒョウジ</t>
    </rPh>
    <rPh sb="30" eb="33">
      <t>ミセッテイ</t>
    </rPh>
    <rPh sb="34" eb="36">
      <t>クウラン</t>
    </rPh>
    <rPh sb="40" eb="42">
      <t>チョウフク</t>
    </rPh>
    <rPh sb="42" eb="44">
      <t>セッテイ</t>
    </rPh>
    <phoneticPr fontId="2"/>
  </si>
  <si>
    <t>140508並換順の係数を修正</t>
    <rPh sb="6" eb="7">
      <t>ナラ</t>
    </rPh>
    <rPh sb="7" eb="8">
      <t>カ</t>
    </rPh>
    <rPh sb="8" eb="9">
      <t>ジュン</t>
    </rPh>
    <rPh sb="10" eb="12">
      <t>ケイスウ</t>
    </rPh>
    <rPh sb="13" eb="15">
      <t>シュウセイ</t>
    </rPh>
    <phoneticPr fontId="2"/>
  </si>
  <si>
    <t>育成</t>
    <rPh sb="0" eb="2">
      <t>イクセイ</t>
    </rPh>
    <phoneticPr fontId="2"/>
  </si>
  <si>
    <t>【開催日一覧表】</t>
    <rPh sb="1" eb="4">
      <t>カイサイビ</t>
    </rPh>
    <rPh sb="4" eb="6">
      <t>イチラン</t>
    </rPh>
    <rPh sb="6" eb="7">
      <t>ヒョウ</t>
    </rPh>
    <phoneticPr fontId="2"/>
  </si>
  <si>
    <t>【会場一覧表】</t>
    <rPh sb="1" eb="3">
      <t>カイジョウ</t>
    </rPh>
    <rPh sb="3" eb="5">
      <t>イチラン</t>
    </rPh>
    <rPh sb="5" eb="6">
      <t>ヒョウ</t>
    </rPh>
    <phoneticPr fontId="2"/>
  </si>
  <si>
    <t>【対戦一覧表】</t>
    <rPh sb="1" eb="3">
      <t>タイセン</t>
    </rPh>
    <rPh sb="3" eb="5">
      <t>イチラン</t>
    </rPh>
    <rPh sb="5" eb="6">
      <t>ヒョウ</t>
    </rPh>
    <phoneticPr fontId="2"/>
  </si>
  <si>
    <t>トップ</t>
    <phoneticPr fontId="2"/>
  </si>
  <si>
    <t>日付</t>
    <rPh sb="0" eb="2">
      <t>ヒヅケ</t>
    </rPh>
    <phoneticPr fontId="2"/>
  </si>
  <si>
    <t>曜日</t>
    <rPh sb="0" eb="2">
      <t>ヨウビ</t>
    </rPh>
    <phoneticPr fontId="2"/>
  </si>
  <si>
    <t>節</t>
    <rPh sb="0" eb="1">
      <t>セツ</t>
    </rPh>
    <phoneticPr fontId="2"/>
  </si>
  <si>
    <t>使用会場</t>
    <rPh sb="0" eb="2">
      <t>シヨウ</t>
    </rPh>
    <rPh sb="2" eb="4">
      <t>カイジョウ</t>
    </rPh>
    <phoneticPr fontId="2"/>
  </si>
  <si>
    <t>会場略称</t>
    <rPh sb="0" eb="2">
      <t>カイジョウ</t>
    </rPh>
    <rPh sb="2" eb="4">
      <t>リャクショウ</t>
    </rPh>
    <phoneticPr fontId="2"/>
  </si>
  <si>
    <t>リスト選択</t>
    <rPh sb="3" eb="5">
      <t>センタク</t>
    </rPh>
    <phoneticPr fontId="2"/>
  </si>
  <si>
    <t>確　認</t>
    <rPh sb="0" eb="1">
      <t>アキラ</t>
    </rPh>
    <rPh sb="2" eb="3">
      <t>シノブ</t>
    </rPh>
    <phoneticPr fontId="2"/>
  </si>
  <si>
    <t>セカンドＡ</t>
    <phoneticPr fontId="2"/>
  </si>
  <si>
    <t>設定</t>
    <rPh sb="0" eb="2">
      <t>セッテイ</t>
    </rPh>
    <phoneticPr fontId="2"/>
  </si>
  <si>
    <t>表示</t>
    <rPh sb="0" eb="2">
      <t>ヒョウジ</t>
    </rPh>
    <phoneticPr fontId="2"/>
  </si>
  <si>
    <t>(全角７字以下)</t>
    <rPh sb="1" eb="3">
      <t>ゼンカク</t>
    </rPh>
    <rPh sb="4" eb="5">
      <t>ジ</t>
    </rPh>
    <rPh sb="5" eb="7">
      <t>イカ</t>
    </rPh>
    <phoneticPr fontId="2"/>
  </si>
  <si>
    <t>(全角５字以下)</t>
    <rPh sb="1" eb="3">
      <t>ゼンカク</t>
    </rPh>
    <rPh sb="4" eb="5">
      <t>ジ</t>
    </rPh>
    <rPh sb="5" eb="7">
      <t>イカ</t>
    </rPh>
    <phoneticPr fontId="2"/>
  </si>
  <si>
    <t>マッチ№</t>
    <phoneticPr fontId="2"/>
  </si>
  <si>
    <t>開催日</t>
    <rPh sb="0" eb="3">
      <t>カイサイビ</t>
    </rPh>
    <phoneticPr fontId="2"/>
  </si>
  <si>
    <t>開始時間</t>
    <rPh sb="0" eb="2">
      <t>カイシ</t>
    </rPh>
    <rPh sb="2" eb="4">
      <t>ジカン</t>
    </rPh>
    <phoneticPr fontId="2"/>
  </si>
  <si>
    <t>左チーム</t>
    <rPh sb="0" eb="1">
      <t>ヒダリ</t>
    </rPh>
    <phoneticPr fontId="2"/>
  </si>
  <si>
    <t>右チーム</t>
    <rPh sb="0" eb="1">
      <t>ミギ</t>
    </rPh>
    <phoneticPr fontId="2"/>
  </si>
  <si>
    <t>審判</t>
    <rPh sb="0" eb="2">
      <t>シンパン</t>
    </rPh>
    <phoneticPr fontId="2"/>
  </si>
  <si>
    <t>並び換え順</t>
    <rPh sb="0" eb="1">
      <t>ナラ</t>
    </rPh>
    <rPh sb="2" eb="3">
      <t>カ</t>
    </rPh>
    <rPh sb="4" eb="5">
      <t>ジュン</t>
    </rPh>
    <phoneticPr fontId="2"/>
  </si>
  <si>
    <t>セカンドＢ</t>
    <phoneticPr fontId="2"/>
  </si>
  <si>
    <t>第１節</t>
    <rPh sb="0" eb="1">
      <t>ダイ</t>
    </rPh>
    <rPh sb="2" eb="3">
      <t>セツ</t>
    </rPh>
    <phoneticPr fontId="2"/>
  </si>
  <si>
    <t>①</t>
    <phoneticPr fontId="2"/>
  </si>
  <si>
    <t>星稜ｻｯｶｰ場</t>
    <rPh sb="6" eb="7">
      <t>ジョウ</t>
    </rPh>
    <phoneticPr fontId="2"/>
  </si>
  <si>
    <t>サザン1st</t>
  </si>
  <si>
    <t>FC小松1st</t>
  </si>
  <si>
    <t>セカンド上</t>
    <rPh sb="4" eb="5">
      <t>ウエ</t>
    </rPh>
    <phoneticPr fontId="2"/>
  </si>
  <si>
    <t>第２節</t>
    <rPh sb="0" eb="1">
      <t>ダイ</t>
    </rPh>
    <rPh sb="2" eb="3">
      <t>セツ</t>
    </rPh>
    <phoneticPr fontId="2"/>
  </si>
  <si>
    <t>②</t>
    <phoneticPr fontId="2"/>
  </si>
  <si>
    <t>星稜サッカー場</t>
    <rPh sb="6" eb="7">
      <t>ジョウ</t>
    </rPh>
    <phoneticPr fontId="2"/>
  </si>
  <si>
    <t>星稜中</t>
  </si>
  <si>
    <t>Riopedra</t>
  </si>
  <si>
    <t>セカンド下</t>
    <rPh sb="4" eb="5">
      <t>シタ</t>
    </rPh>
    <phoneticPr fontId="2"/>
  </si>
  <si>
    <t>第３節</t>
    <rPh sb="0" eb="1">
      <t>ダイ</t>
    </rPh>
    <rPh sb="2" eb="3">
      <t>セツ</t>
    </rPh>
    <phoneticPr fontId="2"/>
  </si>
  <si>
    <t>③</t>
    <phoneticPr fontId="2"/>
  </si>
  <si>
    <t>中Ｇ</t>
    <rPh sb="0" eb="1">
      <t>ナカ</t>
    </rPh>
    <phoneticPr fontId="2"/>
  </si>
  <si>
    <t>能登島Ｂ</t>
    <rPh sb="0" eb="3">
      <t>ノトジマ</t>
    </rPh>
    <phoneticPr fontId="2"/>
  </si>
  <si>
    <t>ﾂｴｰｹﾞﾝ1st</t>
  </si>
  <si>
    <t>ﾃｲﾍﾝｽﾞ1st</t>
  </si>
  <si>
    <t>北部Ａ</t>
    <rPh sb="0" eb="2">
      <t>ホクブ</t>
    </rPh>
    <phoneticPr fontId="2"/>
  </si>
  <si>
    <t>セブン1st</t>
  </si>
  <si>
    <t>ﾍﾐﾆｽ1st</t>
  </si>
  <si>
    <t>北部B</t>
    <rPh sb="0" eb="2">
      <t>ホクブ</t>
    </rPh>
    <phoneticPr fontId="2"/>
  </si>
  <si>
    <t>第４節</t>
    <rPh sb="0" eb="1">
      <t>ダイ</t>
    </rPh>
    <rPh sb="2" eb="3">
      <t>セツ</t>
    </rPh>
    <phoneticPr fontId="2"/>
  </si>
  <si>
    <t>④</t>
    <phoneticPr fontId="2"/>
  </si>
  <si>
    <t>金沢市民ｻｯｶｰ場</t>
    <rPh sb="0" eb="2">
      <t>カナザワ</t>
    </rPh>
    <rPh sb="2" eb="4">
      <t>シミン</t>
    </rPh>
    <rPh sb="8" eb="9">
      <t>ジョウ</t>
    </rPh>
    <phoneticPr fontId="2"/>
  </si>
  <si>
    <t>金沢市民</t>
    <rPh sb="0" eb="2">
      <t>カナザワ</t>
    </rPh>
    <rPh sb="2" eb="4">
      <t>シミン</t>
    </rPh>
    <phoneticPr fontId="2"/>
  </si>
  <si>
    <t>北部C</t>
    <rPh sb="0" eb="2">
      <t>ホクブ</t>
    </rPh>
    <phoneticPr fontId="2"/>
  </si>
  <si>
    <t>金沢市営球技場</t>
    <rPh sb="0" eb="2">
      <t>カナザワ</t>
    </rPh>
    <rPh sb="2" eb="4">
      <t>シエイ</t>
    </rPh>
    <rPh sb="4" eb="7">
      <t>キュウギジョウ</t>
    </rPh>
    <phoneticPr fontId="2"/>
  </si>
  <si>
    <t>金沢市営</t>
    <rPh sb="0" eb="2">
      <t>カナザワ</t>
    </rPh>
    <rPh sb="2" eb="4">
      <t>シエイ</t>
    </rPh>
    <phoneticPr fontId="2"/>
  </si>
  <si>
    <t>北部Ｄ</t>
    <rPh sb="0" eb="2">
      <t>ホクブ</t>
    </rPh>
    <phoneticPr fontId="2"/>
  </si>
  <si>
    <t>第５節</t>
    <rPh sb="0" eb="1">
      <t>ダイ</t>
    </rPh>
    <rPh sb="2" eb="3">
      <t>セツ</t>
    </rPh>
    <phoneticPr fontId="2"/>
  </si>
  <si>
    <t>⑤</t>
    <phoneticPr fontId="2"/>
  </si>
  <si>
    <t>金沢市交流広場</t>
    <rPh sb="0" eb="2">
      <t>カナザワ</t>
    </rPh>
    <rPh sb="2" eb="3">
      <t>シ</t>
    </rPh>
    <rPh sb="3" eb="5">
      <t>コウリュウ</t>
    </rPh>
    <rPh sb="5" eb="7">
      <t>ヒロバ</t>
    </rPh>
    <phoneticPr fontId="2"/>
  </si>
  <si>
    <t>金沢交流</t>
    <rPh sb="0" eb="2">
      <t>カナザワ</t>
    </rPh>
    <rPh sb="2" eb="4">
      <t>コウリュウ</t>
    </rPh>
    <phoneticPr fontId="2"/>
  </si>
  <si>
    <t>北部Ｅ</t>
    <rPh sb="0" eb="2">
      <t>ホクブ</t>
    </rPh>
    <phoneticPr fontId="2"/>
  </si>
  <si>
    <t>安原ｽﾎﾟｰﾂ広場</t>
    <rPh sb="0" eb="2">
      <t>ヤスハラ</t>
    </rPh>
    <rPh sb="7" eb="9">
      <t>ヒロバ</t>
    </rPh>
    <phoneticPr fontId="2"/>
  </si>
  <si>
    <t>安原</t>
    <rPh sb="0" eb="2">
      <t>ヤスハラ</t>
    </rPh>
    <phoneticPr fontId="2"/>
  </si>
  <si>
    <t>南部Ａ</t>
    <rPh sb="0" eb="1">
      <t>ミナミ</t>
    </rPh>
    <phoneticPr fontId="2"/>
  </si>
  <si>
    <t>第６節</t>
    <rPh sb="0" eb="1">
      <t>ダイ</t>
    </rPh>
    <rPh sb="2" eb="3">
      <t>セツ</t>
    </rPh>
    <phoneticPr fontId="2"/>
  </si>
  <si>
    <t>⑥</t>
    <phoneticPr fontId="2"/>
  </si>
  <si>
    <t>県サッカー場</t>
    <rPh sb="0" eb="1">
      <t>ケン</t>
    </rPh>
    <rPh sb="5" eb="6">
      <t>ジョウ</t>
    </rPh>
    <phoneticPr fontId="2"/>
  </si>
  <si>
    <t>根上</t>
    <rPh sb="0" eb="2">
      <t>ネアガリ</t>
    </rPh>
    <phoneticPr fontId="2"/>
  </si>
  <si>
    <t>南部B</t>
    <rPh sb="0" eb="1">
      <t>ミナミ</t>
    </rPh>
    <phoneticPr fontId="2"/>
  </si>
  <si>
    <t>松任運動公園Ｇ</t>
    <rPh sb="0" eb="2">
      <t>マットウ</t>
    </rPh>
    <rPh sb="2" eb="4">
      <t>ウンドウ</t>
    </rPh>
    <rPh sb="4" eb="6">
      <t>コウエン</t>
    </rPh>
    <phoneticPr fontId="2"/>
  </si>
  <si>
    <t>松任公園Ｇ</t>
    <rPh sb="0" eb="2">
      <t>マットウ</t>
    </rPh>
    <rPh sb="2" eb="4">
      <t>コウエン</t>
    </rPh>
    <phoneticPr fontId="2"/>
  </si>
  <si>
    <t>南部C</t>
    <rPh sb="0" eb="1">
      <t>ミナミ</t>
    </rPh>
    <phoneticPr fontId="2"/>
  </si>
  <si>
    <t>手取公園Ｇ</t>
    <rPh sb="0" eb="2">
      <t>テドリ</t>
    </rPh>
    <rPh sb="2" eb="4">
      <t>コウエン</t>
    </rPh>
    <phoneticPr fontId="2"/>
  </si>
  <si>
    <t>南部Ｄ</t>
    <rPh sb="0" eb="1">
      <t>ミナミ</t>
    </rPh>
    <phoneticPr fontId="2"/>
  </si>
  <si>
    <t>小松市民ｾﾝﾀｰＧ</t>
    <rPh sb="0" eb="4">
      <t>コマツシミン</t>
    </rPh>
    <phoneticPr fontId="2"/>
  </si>
  <si>
    <t>小松市民</t>
    <rPh sb="0" eb="4">
      <t>コマツシミン</t>
    </rPh>
    <phoneticPr fontId="2"/>
  </si>
  <si>
    <t>和倉Ａ</t>
    <rPh sb="0" eb="2">
      <t>ワクラ</t>
    </rPh>
    <phoneticPr fontId="2"/>
  </si>
  <si>
    <t>南部Ｅ</t>
    <rPh sb="0" eb="1">
      <t>ミナミ</t>
    </rPh>
    <phoneticPr fontId="2"/>
  </si>
  <si>
    <t>こまつドームG</t>
    <phoneticPr fontId="2"/>
  </si>
  <si>
    <t>小松ﾄﾞｰﾑG</t>
    <rPh sb="0" eb="2">
      <t>コマツ</t>
    </rPh>
    <phoneticPr fontId="2"/>
  </si>
  <si>
    <t>U-13･T</t>
    <phoneticPr fontId="2"/>
  </si>
  <si>
    <t>木場潟中央公園</t>
    <rPh sb="0" eb="2">
      <t>キバ</t>
    </rPh>
    <rPh sb="2" eb="3">
      <t>カタ</t>
    </rPh>
    <rPh sb="3" eb="5">
      <t>チュウオウ</t>
    </rPh>
    <rPh sb="5" eb="7">
      <t>コウエン</t>
    </rPh>
    <phoneticPr fontId="2"/>
  </si>
  <si>
    <t>木場潟</t>
    <rPh sb="0" eb="2">
      <t>キバ</t>
    </rPh>
    <rPh sb="2" eb="3">
      <t>カタ</t>
    </rPh>
    <phoneticPr fontId="2"/>
  </si>
  <si>
    <t>U-13･S</t>
    <phoneticPr fontId="2"/>
  </si>
  <si>
    <t>第７節</t>
    <rPh sb="0" eb="1">
      <t>ダイ</t>
    </rPh>
    <rPh sb="2" eb="3">
      <t>セツ</t>
    </rPh>
    <phoneticPr fontId="2"/>
  </si>
  <si>
    <t>⑦</t>
    <phoneticPr fontId="2"/>
  </si>
  <si>
    <t>ｽｶｲﾊﾟｰｸ翼</t>
    <rPh sb="7" eb="8">
      <t>ツバサ</t>
    </rPh>
    <phoneticPr fontId="2"/>
  </si>
  <si>
    <t>小松翼</t>
    <rPh sb="0" eb="2">
      <t>コマツ</t>
    </rPh>
    <rPh sb="2" eb="3">
      <t>ツバサ</t>
    </rPh>
    <phoneticPr fontId="2"/>
  </si>
  <si>
    <t>かほく市S</t>
    <rPh sb="3" eb="4">
      <t>シ</t>
    </rPh>
    <phoneticPr fontId="2"/>
  </si>
  <si>
    <t>U-13･A</t>
    <phoneticPr fontId="2"/>
  </si>
  <si>
    <t>加賀市陸上</t>
    <rPh sb="0" eb="2">
      <t>カガ</t>
    </rPh>
    <rPh sb="2" eb="3">
      <t>シ</t>
    </rPh>
    <rPh sb="3" eb="5">
      <t>リクジョウ</t>
    </rPh>
    <phoneticPr fontId="2"/>
  </si>
  <si>
    <t>加賀陸上</t>
    <rPh sb="0" eb="2">
      <t>カガ</t>
    </rPh>
    <rPh sb="2" eb="4">
      <t>リクジョウ</t>
    </rPh>
    <phoneticPr fontId="2"/>
  </si>
  <si>
    <t>U-13･B</t>
    <phoneticPr fontId="2"/>
  </si>
  <si>
    <t>和倉温泉Ｇ</t>
    <rPh sb="0" eb="2">
      <t>ワクラ</t>
    </rPh>
    <rPh sb="2" eb="4">
      <t>オンセン</t>
    </rPh>
    <phoneticPr fontId="2"/>
  </si>
  <si>
    <t>和倉Ｇ</t>
    <rPh sb="0" eb="2">
      <t>ワクラ</t>
    </rPh>
    <phoneticPr fontId="2"/>
  </si>
  <si>
    <t>７チーム←</t>
    <phoneticPr fontId="2"/>
  </si>
  <si>
    <t>U-13･C</t>
    <phoneticPr fontId="2"/>
  </si>
  <si>
    <t>和倉温泉Ｇ-Ａ</t>
    <rPh sb="0" eb="2">
      <t>ワクラ</t>
    </rPh>
    <rPh sb="2" eb="4">
      <t>オンセン</t>
    </rPh>
    <phoneticPr fontId="2"/>
  </si>
  <si>
    <t>U-13･D</t>
    <phoneticPr fontId="2"/>
  </si>
  <si>
    <t>和倉温泉Ｇ-Ｂ</t>
    <rPh sb="0" eb="2">
      <t>ワクラ</t>
    </rPh>
    <rPh sb="2" eb="4">
      <t>オンセン</t>
    </rPh>
    <phoneticPr fontId="2"/>
  </si>
  <si>
    <t>和倉Ｂ</t>
    <rPh sb="0" eb="2">
      <t>ワクラ</t>
    </rPh>
    <phoneticPr fontId="2"/>
  </si>
  <si>
    <t>パテオ</t>
    <phoneticPr fontId="2"/>
  </si>
  <si>
    <t>←追加の</t>
    <rPh sb="1" eb="3">
      <t>ツイカ</t>
    </rPh>
    <phoneticPr fontId="2"/>
  </si>
  <si>
    <t>和倉温泉Ｇ-Ｃ</t>
    <rPh sb="0" eb="2">
      <t>ワクラ</t>
    </rPh>
    <rPh sb="2" eb="4">
      <t>オンセン</t>
    </rPh>
    <phoneticPr fontId="2"/>
  </si>
  <si>
    <t>和倉Ｃ</t>
    <rPh sb="0" eb="2">
      <t>ワクラ</t>
    </rPh>
    <phoneticPr fontId="2"/>
  </si>
  <si>
    <t>審判割当</t>
    <rPh sb="0" eb="2">
      <t>シンパン</t>
    </rPh>
    <rPh sb="2" eb="4">
      <t>ワリア</t>
    </rPh>
    <phoneticPr fontId="2"/>
  </si>
  <si>
    <t>第８節</t>
    <rPh sb="0" eb="1">
      <t>ダイ</t>
    </rPh>
    <rPh sb="2" eb="3">
      <t>セツ</t>
    </rPh>
    <phoneticPr fontId="2"/>
  </si>
  <si>
    <t>⑧</t>
    <phoneticPr fontId="2"/>
  </si>
  <si>
    <t>能登島Ｇ</t>
    <rPh sb="0" eb="3">
      <t>ノトジマ</t>
    </rPh>
    <phoneticPr fontId="2"/>
  </si>
  <si>
    <t>チームを</t>
    <phoneticPr fontId="2"/>
  </si>
  <si>
    <t>能登島Ｇ-Ａ</t>
    <rPh sb="0" eb="3">
      <t>ノトジマ</t>
    </rPh>
    <phoneticPr fontId="2"/>
  </si>
  <si>
    <t>能登島Ａ</t>
    <rPh sb="0" eb="3">
      <t>ノトジマ</t>
    </rPh>
    <phoneticPr fontId="2"/>
  </si>
  <si>
    <t>リオペードラ</t>
    <phoneticPr fontId="2"/>
  </si>
  <si>
    <t>第９節</t>
    <rPh sb="0" eb="1">
      <t>ダイ</t>
    </rPh>
    <rPh sb="2" eb="3">
      <t>セツ</t>
    </rPh>
    <phoneticPr fontId="2"/>
  </si>
  <si>
    <t>⑨</t>
    <phoneticPr fontId="2"/>
  </si>
  <si>
    <t>能登島Ｇ-Ｂ</t>
    <rPh sb="0" eb="3">
      <t>ノトジマ</t>
    </rPh>
    <phoneticPr fontId="2"/>
  </si>
  <si>
    <t>ヘミニス</t>
    <phoneticPr fontId="2"/>
  </si>
  <si>
    <t>田鶴浜Ｇ</t>
    <rPh sb="0" eb="2">
      <t>タヅル</t>
    </rPh>
    <rPh sb="2" eb="3">
      <t>ハマ</t>
    </rPh>
    <phoneticPr fontId="2"/>
  </si>
  <si>
    <t>８チーム←</t>
    <phoneticPr fontId="2"/>
  </si>
  <si>
    <t>紫錦台中</t>
    <rPh sb="0" eb="1">
      <t>シ</t>
    </rPh>
    <rPh sb="1" eb="2">
      <t>キン</t>
    </rPh>
    <rPh sb="2" eb="3">
      <t>ダイ</t>
    </rPh>
    <rPh sb="3" eb="4">
      <t>ナカ</t>
    </rPh>
    <phoneticPr fontId="2"/>
  </si>
  <si>
    <t>志賀町陸上</t>
    <rPh sb="0" eb="2">
      <t>シカ</t>
    </rPh>
    <rPh sb="2" eb="3">
      <t>マチ</t>
    </rPh>
    <rPh sb="3" eb="5">
      <t>リクジョウ</t>
    </rPh>
    <phoneticPr fontId="2"/>
  </si>
  <si>
    <t>志賀陸上</t>
    <rPh sb="0" eb="2">
      <t>シカ</t>
    </rPh>
    <rPh sb="2" eb="4">
      <t>リクジョウ</t>
    </rPh>
    <phoneticPr fontId="2"/>
  </si>
  <si>
    <t>光野中</t>
    <rPh sb="0" eb="2">
      <t>ヒカリノ</t>
    </rPh>
    <rPh sb="2" eb="3">
      <t>ナカ</t>
    </rPh>
    <phoneticPr fontId="2"/>
  </si>
  <si>
    <t>宇ノ気陸上</t>
    <rPh sb="0" eb="1">
      <t>ウ</t>
    </rPh>
    <rPh sb="2" eb="3">
      <t>ケ</t>
    </rPh>
    <rPh sb="3" eb="5">
      <t>リクジョウ</t>
    </rPh>
    <phoneticPr fontId="2"/>
  </si>
  <si>
    <t>松陽中</t>
    <rPh sb="0" eb="2">
      <t>ショウヨウ</t>
    </rPh>
    <rPh sb="2" eb="3">
      <t>ナカ</t>
    </rPh>
    <phoneticPr fontId="2"/>
  </si>
  <si>
    <t>第10節</t>
    <rPh sb="0" eb="1">
      <t>ダイ</t>
    </rPh>
    <rPh sb="3" eb="4">
      <t>セツ</t>
    </rPh>
    <phoneticPr fontId="2"/>
  </si>
  <si>
    <t>⑩</t>
    <phoneticPr fontId="2"/>
  </si>
  <si>
    <t>二日市Ｇ</t>
    <rPh sb="0" eb="3">
      <t>フツカイチ</t>
    </rPh>
    <phoneticPr fontId="2"/>
  </si>
  <si>
    <t>宝達中</t>
    <rPh sb="0" eb="2">
      <t>ホウダツ</t>
    </rPh>
    <rPh sb="2" eb="3">
      <t>ナカ</t>
    </rPh>
    <phoneticPr fontId="2"/>
  </si>
  <si>
    <t>北陸大FP-B</t>
    <rPh sb="0" eb="2">
      <t>ホクリク</t>
    </rPh>
    <rPh sb="2" eb="3">
      <t>ダイ</t>
    </rPh>
    <phoneticPr fontId="2"/>
  </si>
  <si>
    <t>北陸大FPB</t>
    <rPh sb="0" eb="2">
      <t>ホクリク</t>
    </rPh>
    <rPh sb="2" eb="3">
      <t>ダイ</t>
    </rPh>
    <phoneticPr fontId="2"/>
  </si>
  <si>
    <t>FC.mais</t>
    <phoneticPr fontId="2"/>
  </si>
  <si>
    <t>かほく市ｻｯｶｰ場</t>
    <rPh sb="3" eb="4">
      <t>シ</t>
    </rPh>
    <rPh sb="8" eb="9">
      <t>ジョウ</t>
    </rPh>
    <phoneticPr fontId="2"/>
  </si>
  <si>
    <t>笠間中</t>
    <rPh sb="0" eb="2">
      <t>カサマ</t>
    </rPh>
    <rPh sb="2" eb="3">
      <t>ナカ</t>
    </rPh>
    <phoneticPr fontId="2"/>
  </si>
  <si>
    <t>宝達志水ｻｯｶｰ場</t>
    <phoneticPr fontId="2"/>
  </si>
  <si>
    <t>宝達志水S</t>
    <phoneticPr fontId="2"/>
  </si>
  <si>
    <t>第11節</t>
    <rPh sb="0" eb="1">
      <t>ダイ</t>
    </rPh>
    <rPh sb="3" eb="4">
      <t>セツ</t>
    </rPh>
    <phoneticPr fontId="2"/>
  </si>
  <si>
    <t>⑪</t>
    <phoneticPr fontId="2"/>
  </si>
  <si>
    <t>内灘町ｻｯｶｰ場</t>
    <rPh sb="0" eb="2">
      <t>ウチナダ</t>
    </rPh>
    <rPh sb="2" eb="3">
      <t>マチ</t>
    </rPh>
    <rPh sb="7" eb="8">
      <t>ジョウ</t>
    </rPh>
    <phoneticPr fontId="2"/>
  </si>
  <si>
    <t>内灘町Ｓ</t>
    <rPh sb="0" eb="2">
      <t>ウチナダ</t>
    </rPh>
    <rPh sb="2" eb="3">
      <t>マチ</t>
    </rPh>
    <phoneticPr fontId="2"/>
  </si>
  <si>
    <t>第12節</t>
    <rPh sb="0" eb="1">
      <t>ダイ</t>
    </rPh>
    <rPh sb="3" eb="4">
      <t>セツ</t>
    </rPh>
    <phoneticPr fontId="2"/>
  </si>
  <si>
    <t>⑫</t>
    <phoneticPr fontId="2"/>
  </si>
  <si>
    <t>第13節</t>
    <rPh sb="0" eb="1">
      <t>ダイ</t>
    </rPh>
    <rPh sb="3" eb="4">
      <t>セツ</t>
    </rPh>
    <phoneticPr fontId="2"/>
  </si>
  <si>
    <t>⑬</t>
    <phoneticPr fontId="2"/>
  </si>
  <si>
    <t>第14節</t>
    <rPh sb="0" eb="1">
      <t>ダイ</t>
    </rPh>
    <rPh sb="3" eb="4">
      <t>セツ</t>
    </rPh>
    <phoneticPr fontId="2"/>
  </si>
  <si>
    <t>⑭</t>
    <phoneticPr fontId="2"/>
  </si>
  <si>
    <t>【対戦確認用リーグ表】</t>
    <rPh sb="1" eb="3">
      <t>タイセン</t>
    </rPh>
    <rPh sb="3" eb="5">
      <t>カクニン</t>
    </rPh>
    <rPh sb="5" eb="6">
      <t>ヨウ</t>
    </rPh>
    <rPh sb="9" eb="10">
      <t>ヒョウ</t>
    </rPh>
    <phoneticPr fontId="2"/>
  </si>
  <si>
    <t>〔表示〕未設定：空欄ｏｒ０、重複設定：ＮＧ</t>
    <phoneticPr fontId="2"/>
  </si>
  <si>
    <t>１巡目（節・日・会場）</t>
    <rPh sb="1" eb="2">
      <t>ジュン</t>
    </rPh>
    <rPh sb="2" eb="3">
      <t>メ</t>
    </rPh>
    <rPh sb="4" eb="5">
      <t>セツ</t>
    </rPh>
    <rPh sb="6" eb="7">
      <t>ヒ</t>
    </rPh>
    <rPh sb="8" eb="10">
      <t>カイジョウ</t>
    </rPh>
    <phoneticPr fontId="2"/>
  </si>
  <si>
    <t>　　【スコア記入シート】</t>
    <rPh sb="6" eb="8">
      <t>キニュウ</t>
    </rPh>
    <phoneticPr fontId="2"/>
  </si>
  <si>
    <t>※編成シートの【対戦一覧表】が日付、会場、開始時間の順に並び換えられて表示されます。</t>
    <rPh sb="1" eb="3">
      <t>ヘンセイ</t>
    </rPh>
    <rPh sb="8" eb="10">
      <t>タイセン</t>
    </rPh>
    <rPh sb="10" eb="12">
      <t>イチラン</t>
    </rPh>
    <rPh sb="12" eb="13">
      <t>ヒョウ</t>
    </rPh>
    <rPh sb="15" eb="17">
      <t>ヒヅケ</t>
    </rPh>
    <rPh sb="18" eb="20">
      <t>カイジョウ</t>
    </rPh>
    <rPh sb="21" eb="23">
      <t>カイシ</t>
    </rPh>
    <rPh sb="23" eb="25">
      <t>ジカン</t>
    </rPh>
    <rPh sb="26" eb="27">
      <t>ジュン</t>
    </rPh>
    <rPh sb="28" eb="29">
      <t>ナラ</t>
    </rPh>
    <rPh sb="30" eb="31">
      <t>カ</t>
    </rPh>
    <rPh sb="35" eb="37">
      <t>ヒョウジ</t>
    </rPh>
    <phoneticPr fontId="2"/>
  </si>
  <si>
    <t>色付きセルで、（　－　）の内側に前半スコアを、外側に合計スコアを記入して下さい</t>
    <rPh sb="0" eb="2">
      <t>イロツ</t>
    </rPh>
    <rPh sb="13" eb="15">
      <t>ウチガワ</t>
    </rPh>
    <rPh sb="16" eb="18">
      <t>ゼンハン</t>
    </rPh>
    <rPh sb="23" eb="25">
      <t>ソトガワ</t>
    </rPh>
    <rPh sb="26" eb="28">
      <t>ゴウケイ</t>
    </rPh>
    <rPh sb="32" eb="34">
      <t>キニュウ</t>
    </rPh>
    <rPh sb="36" eb="37">
      <t>クダ</t>
    </rPh>
    <phoneticPr fontId="2"/>
  </si>
  <si>
    <t>≪</t>
    <phoneticPr fontId="2"/>
  </si>
  <si>
    <t>≫</t>
    <phoneticPr fontId="2"/>
  </si>
  <si>
    <t>期日</t>
    <rPh sb="0" eb="2">
      <t>キジツ</t>
    </rPh>
    <phoneticPr fontId="2"/>
  </si>
  <si>
    <t>曜</t>
    <rPh sb="0" eb="1">
      <t>ヒカリ</t>
    </rPh>
    <phoneticPr fontId="2"/>
  </si>
  <si>
    <t>会　場</t>
    <rPh sb="0" eb="1">
      <t>カイ</t>
    </rPh>
    <rPh sb="2" eb="3">
      <t>バ</t>
    </rPh>
    <phoneticPr fontId="2"/>
  </si>
  <si>
    <t>開始</t>
    <rPh sb="0" eb="2">
      <t>カイシ</t>
    </rPh>
    <phoneticPr fontId="2"/>
  </si>
  <si>
    <t>チームＡ</t>
    <phoneticPr fontId="2"/>
  </si>
  <si>
    <t>スコア（前半スコア）</t>
    <rPh sb="4" eb="6">
      <t>ゼンハン</t>
    </rPh>
    <phoneticPr fontId="2"/>
  </si>
  <si>
    <t>チームＢ</t>
    <phoneticPr fontId="2"/>
  </si>
  <si>
    <t>（</t>
    <phoneticPr fontId="2"/>
  </si>
  <si>
    <t>-</t>
    <phoneticPr fontId="2"/>
  </si>
  <si>
    <t>）</t>
    <phoneticPr fontId="2"/>
  </si>
  <si>
    <t>（</t>
  </si>
  <si>
    <t>-</t>
  </si>
  <si>
    <t>）</t>
  </si>
  <si>
    <t xml:space="preserve">【リーグ表】 </t>
    <rPh sb="4" eb="5">
      <t>ヒョウ</t>
    </rPh>
    <phoneticPr fontId="2"/>
  </si>
  <si>
    <t>※このシートへの入力は禁止です。</t>
    <phoneticPr fontId="2"/>
  </si>
  <si>
    <t>　順位決定方法は、通常通り（①勝点、②得失点差、③得点、④当該チームの対戦成績）によります</t>
    <rPh sb="1" eb="3">
      <t>ジュンイ</t>
    </rPh>
    <rPh sb="3" eb="5">
      <t>ケッテイ</t>
    </rPh>
    <rPh sb="5" eb="7">
      <t>ホウホウ</t>
    </rPh>
    <rPh sb="9" eb="11">
      <t>ツウジョウ</t>
    </rPh>
    <rPh sb="11" eb="12">
      <t>トオ</t>
    </rPh>
    <rPh sb="15" eb="16">
      <t>カ</t>
    </rPh>
    <rPh sb="16" eb="17">
      <t>テン</t>
    </rPh>
    <rPh sb="19" eb="22">
      <t>トクシッテン</t>
    </rPh>
    <rPh sb="22" eb="23">
      <t>サ</t>
    </rPh>
    <rPh sb="25" eb="27">
      <t>トクテン</t>
    </rPh>
    <rPh sb="29" eb="31">
      <t>トウガイ</t>
    </rPh>
    <rPh sb="35" eb="37">
      <t>タイセン</t>
    </rPh>
    <rPh sb="37" eb="39">
      <t>セイセキ</t>
    </rPh>
    <phoneticPr fontId="2"/>
  </si>
  <si>
    <t>勝点</t>
    <rPh sb="0" eb="1">
      <t>カ</t>
    </rPh>
    <rPh sb="1" eb="2">
      <t>テン</t>
    </rPh>
    <phoneticPr fontId="2"/>
  </si>
  <si>
    <t>得点</t>
    <rPh sb="0" eb="2">
      <t>トクテン</t>
    </rPh>
    <phoneticPr fontId="2"/>
  </si>
  <si>
    <t>失点</t>
    <rPh sb="0" eb="2">
      <t>シッテン</t>
    </rPh>
    <phoneticPr fontId="2"/>
  </si>
  <si>
    <t>得失差</t>
    <rPh sb="0" eb="2">
      <t>トクシツ</t>
    </rPh>
    <rPh sb="2" eb="3">
      <t>サ</t>
    </rPh>
    <phoneticPr fontId="2"/>
  </si>
  <si>
    <t>順位</t>
    <rPh sb="0" eb="2">
      <t>ジュンイ</t>
    </rPh>
    <phoneticPr fontId="2"/>
  </si>
  <si>
    <t>設定値</t>
    <rPh sb="0" eb="2">
      <t>セッテイ</t>
    </rPh>
    <rPh sb="2" eb="3">
      <t>アタイ</t>
    </rPh>
    <phoneticPr fontId="2"/>
  </si>
  <si>
    <t>仮順位</t>
    <rPh sb="0" eb="1">
      <t>カリ</t>
    </rPh>
    <rPh sb="1" eb="3">
      <t>ジュンイ</t>
    </rPh>
    <phoneticPr fontId="2"/>
  </si>
  <si>
    <t xml:space="preserve">【運営委員会提出用シート】 </t>
    <rPh sb="1" eb="3">
      <t>ウンエイ</t>
    </rPh>
    <rPh sb="3" eb="6">
      <t>イインカイ</t>
    </rPh>
    <rPh sb="6" eb="8">
      <t>テイシュツ</t>
    </rPh>
    <rPh sb="8" eb="9">
      <t>ヨウ</t>
    </rPh>
    <rPh sb="9" eb="10">
      <t>ケッカ</t>
    </rPh>
    <phoneticPr fontId="2"/>
  </si>
  <si>
    <t>設定順</t>
    <rPh sb="0" eb="2">
      <t>セッテイ</t>
    </rPh>
    <rPh sb="2" eb="3">
      <t>ジュン</t>
    </rPh>
    <phoneticPr fontId="2"/>
  </si>
  <si>
    <t xml:space="preserve">【簡略版結果シート】 </t>
    <rPh sb="1" eb="3">
      <t>カンリャク</t>
    </rPh>
    <rPh sb="3" eb="4">
      <t>バン</t>
    </rPh>
    <rPh sb="4" eb="6">
      <t>ケッカ</t>
    </rPh>
    <phoneticPr fontId="2"/>
  </si>
  <si>
    <t>（簡略版）</t>
    <rPh sb="1" eb="3">
      <t>カンリャク</t>
    </rPh>
    <rPh sb="3" eb="4">
      <t>ハン</t>
    </rPh>
    <phoneticPr fontId="2"/>
  </si>
  <si>
    <t xml:space="preserve">【協会提出用シート】 </t>
    <rPh sb="1" eb="3">
      <t>キョウカイ</t>
    </rPh>
    <rPh sb="3" eb="5">
      <t>テイシュツ</t>
    </rPh>
    <rPh sb="5" eb="6">
      <t>ヨウ</t>
    </rPh>
    <phoneticPr fontId="2"/>
  </si>
  <si>
    <t>■リーグ報告　星取表</t>
    <rPh sb="4" eb="6">
      <t>ホウコク</t>
    </rPh>
    <rPh sb="7" eb="10">
      <t>ホシトリヒョウ</t>
    </rPh>
    <phoneticPr fontId="2"/>
  </si>
  <si>
    <t>※このシートへの</t>
    <phoneticPr fontId="2"/>
  </si>
  <si>
    <t>　入力は禁止です。</t>
    <phoneticPr fontId="2"/>
  </si>
  <si>
    <t>地域/都道府県名</t>
    <rPh sb="0" eb="2">
      <t>チイキ</t>
    </rPh>
    <rPh sb="3" eb="7">
      <t>トドウフケン</t>
    </rPh>
    <rPh sb="7" eb="8">
      <t>メイ</t>
    </rPh>
    <phoneticPr fontId="2"/>
  </si>
  <si>
    <t xml:space="preserve">石 川 県    </t>
    <rPh sb="0" eb="1">
      <t>イシ</t>
    </rPh>
    <rPh sb="2" eb="3">
      <t>カワ</t>
    </rPh>
    <rPh sb="4" eb="5">
      <t>ケン</t>
    </rPh>
    <phoneticPr fontId="2"/>
  </si>
  <si>
    <t>カテゴリー</t>
    <phoneticPr fontId="2"/>
  </si>
  <si>
    <t xml:space="preserve"> Ｕ-15　・　Ｕ-18</t>
    <phoneticPr fontId="2"/>
  </si>
  <si>
    <t>リーグ名</t>
    <rPh sb="3" eb="4">
      <t>メイ</t>
    </rPh>
    <phoneticPr fontId="2"/>
  </si>
  <si>
    <t>※全試合終了時に</t>
    <rPh sb="1" eb="4">
      <t>ゼンシアイ</t>
    </rPh>
    <rPh sb="4" eb="7">
      <t>シュウリョウジ</t>
    </rPh>
    <phoneticPr fontId="2"/>
  </si>
  <si>
    <t>　表が完成します</t>
    <phoneticPr fontId="2"/>
  </si>
  <si>
    <t>チーム名</t>
    <rPh sb="3" eb="4">
      <t>メイ</t>
    </rPh>
    <phoneticPr fontId="2"/>
  </si>
  <si>
    <t>特記事項</t>
    <rPh sb="0" eb="2">
      <t>トッキ</t>
    </rPh>
    <rPh sb="2" eb="4">
      <t>ジコウ</t>
    </rPh>
    <phoneticPr fontId="2"/>
  </si>
  <si>
    <t>　２回戦総当りのリーグ戦を実施した。</t>
    <rPh sb="2" eb="4">
      <t>カイセン</t>
    </rPh>
    <phoneticPr fontId="2"/>
  </si>
  <si>
    <t>≪警告・退場記録≫</t>
    <rPh sb="1" eb="3">
      <t>ケイコク</t>
    </rPh>
    <rPh sb="4" eb="6">
      <t>タイジョウ</t>
    </rPh>
    <rPh sb="6" eb="8">
      <t>キロク</t>
    </rPh>
    <phoneticPr fontId="2"/>
  </si>
  <si>
    <r>
      <t>※</t>
    </r>
    <r>
      <rPr>
        <sz val="11"/>
        <rFont val="ＭＳ Ｐゴシック"/>
        <family val="3"/>
        <charset val="128"/>
      </rPr>
      <t>累積は警告３回で１試合出場停止</t>
    </r>
    <rPh sb="1" eb="3">
      <t>ルイセキ</t>
    </rPh>
    <rPh sb="4" eb="6">
      <t>ケイコク</t>
    </rPh>
    <rPh sb="7" eb="8">
      <t>カイ</t>
    </rPh>
    <rPh sb="10" eb="12">
      <t>シアイ</t>
    </rPh>
    <rPh sb="12" eb="14">
      <t>シュツジョウ</t>
    </rPh>
    <rPh sb="14" eb="16">
      <t>テイシ</t>
    </rPh>
    <phoneticPr fontId="2"/>
  </si>
  <si>
    <t>　 (５・６チームリーグは警告２回で１試合出場停止）</t>
    <rPh sb="13" eb="15">
      <t>ケイコク</t>
    </rPh>
    <rPh sb="16" eb="17">
      <t>カイ</t>
    </rPh>
    <rPh sb="19" eb="21">
      <t>シアイ</t>
    </rPh>
    <rPh sb="21" eb="23">
      <t>シュツジョウ</t>
    </rPh>
    <rPh sb="23" eb="25">
      <t>テイシ</t>
    </rPh>
    <phoneticPr fontId="2"/>
  </si>
  <si>
    <t>チーム</t>
    <phoneticPr fontId="2"/>
  </si>
  <si>
    <t>背番号</t>
    <rPh sb="0" eb="3">
      <t>セバンゴウ</t>
    </rPh>
    <phoneticPr fontId="2"/>
  </si>
  <si>
    <t>名前</t>
    <rPh sb="0" eb="2">
      <t>ナマエ</t>
    </rPh>
    <phoneticPr fontId="2"/>
  </si>
  <si>
    <t>警告</t>
    <rPh sb="0" eb="2">
      <t>ケイコク</t>
    </rPh>
    <phoneticPr fontId="2"/>
  </si>
  <si>
    <t>退場</t>
    <rPh sb="0" eb="2">
      <t>タイジョウ</t>
    </rPh>
    <phoneticPr fontId="2"/>
  </si>
  <si>
    <t>備考</t>
    <rPh sb="0" eb="2">
      <t>ビコウ</t>
    </rPh>
    <phoneticPr fontId="2"/>
  </si>
  <si>
    <t>FC小松
1st</t>
  </si>
  <si>
    <t>藤川　稜真</t>
    <rPh sb="0" eb="2">
      <t>フジカワ</t>
    </rPh>
    <rPh sb="3" eb="4">
      <t>リョウ</t>
    </rPh>
    <rPh sb="4" eb="5">
      <t>マ</t>
    </rPh>
    <phoneticPr fontId="2"/>
  </si>
  <si>
    <t>FC.
SOUTHERN
1st</t>
  </si>
  <si>
    <t>大畠　叶己</t>
    <rPh sb="0" eb="1">
      <t>ダイ</t>
    </rPh>
    <rPh sb="1" eb="2">
      <t>ハタ</t>
    </rPh>
    <rPh sb="3" eb="4">
      <t>カノウ</t>
    </rPh>
    <rPh sb="4" eb="5">
      <t>オノレ</t>
    </rPh>
    <phoneticPr fontId="2"/>
  </si>
  <si>
    <t>北村　祐人</t>
    <rPh sb="0" eb="2">
      <t>キタムラ</t>
    </rPh>
    <rPh sb="3" eb="4">
      <t>ユウ</t>
    </rPh>
    <rPh sb="4" eb="5">
      <t>ヒト</t>
    </rPh>
    <phoneticPr fontId="2"/>
  </si>
  <si>
    <t>ツエーゲン
金沢U-15
1st</t>
  </si>
  <si>
    <t>橋場　怜央</t>
    <rPh sb="0" eb="2">
      <t>ハシバ</t>
    </rPh>
    <rPh sb="3" eb="4">
      <t>レイ</t>
    </rPh>
    <rPh sb="4" eb="5">
      <t>オウ</t>
    </rPh>
    <phoneticPr fontId="2"/>
  </si>
  <si>
    <t>ヘミニス
金沢FC
1st</t>
  </si>
  <si>
    <t>奥村　祐平</t>
    <rPh sb="0" eb="2">
      <t>オクムラ</t>
    </rPh>
    <rPh sb="3" eb="4">
      <t>ユウ</t>
    </rPh>
    <rPh sb="4" eb="5">
      <t>ヘイ</t>
    </rPh>
    <phoneticPr fontId="2"/>
  </si>
  <si>
    <t>高畠　蒔人</t>
    <rPh sb="0" eb="1">
      <t>タカ</t>
    </rPh>
    <rPh sb="1" eb="2">
      <t>ハタ</t>
    </rPh>
    <rPh sb="3" eb="4">
      <t>マキ</t>
    </rPh>
    <rPh sb="4" eb="5">
      <t>ヒト</t>
    </rPh>
    <phoneticPr fontId="2"/>
  </si>
  <si>
    <t>テイヘンズ
FC　1st</t>
  </si>
  <si>
    <t>南　哉大</t>
    <rPh sb="0" eb="1">
      <t>ミナミ</t>
    </rPh>
    <rPh sb="2" eb="3">
      <t>ヤ</t>
    </rPh>
    <rPh sb="3" eb="4">
      <t>ダイ</t>
    </rPh>
    <phoneticPr fontId="2"/>
  </si>
  <si>
    <t>Riopedra
加賀FC</t>
  </si>
  <si>
    <t>北村　悠</t>
    <rPh sb="0" eb="2">
      <t>キタムラ</t>
    </rPh>
    <rPh sb="3" eb="4">
      <t>ユウ</t>
    </rPh>
    <phoneticPr fontId="2"/>
  </si>
  <si>
    <t>紺藤　翔太</t>
    <rPh sb="0" eb="1">
      <t>コン</t>
    </rPh>
    <rPh sb="1" eb="2">
      <t>フジ</t>
    </rPh>
    <rPh sb="3" eb="5">
      <t>ショウタ</t>
    </rPh>
    <phoneticPr fontId="2"/>
  </si>
  <si>
    <t>星稜中学校</t>
  </si>
  <si>
    <t>藤村　優和</t>
    <rPh sb="0" eb="2">
      <t>フジムラ</t>
    </rPh>
    <rPh sb="3" eb="4">
      <t>ユウ</t>
    </rPh>
    <rPh sb="4" eb="5">
      <t>ワ</t>
    </rPh>
    <phoneticPr fontId="2"/>
  </si>
  <si>
    <t>福村　寛太</t>
    <rPh sb="0" eb="2">
      <t>フクムラ</t>
    </rPh>
    <rPh sb="3" eb="5">
      <t>カンタ</t>
    </rPh>
    <phoneticPr fontId="2"/>
  </si>
  <si>
    <t>出場停止1試合 ③5/9vs泉クラブ</t>
    <rPh sb="0" eb="2">
      <t>シュツジョウ</t>
    </rPh>
    <rPh sb="2" eb="4">
      <t>テイシ</t>
    </rPh>
    <rPh sb="5" eb="7">
      <t>シアイ</t>
    </rPh>
    <rPh sb="14" eb="15">
      <t>イズミ</t>
    </rPh>
    <phoneticPr fontId="2"/>
  </si>
  <si>
    <t>2016県U-15リーグ【2ndB】結果8T.xls の互換性レポート</t>
  </si>
  <si>
    <t>2016/5/14 21:56 に実行</t>
  </si>
  <si>
    <t>このブックで使用されている次の機能は、以前のバージョンの Excel ではサポートされていません。このブックを以前のバージョンの Excel で開くか、以前のファイル形式で保存すると、それらの機能が失われるか、正常に実行されなくなる可能性があります。</t>
  </si>
  <si>
    <t>機能の大幅な損失</t>
  </si>
  <si>
    <t>出現数</t>
  </si>
  <si>
    <t>バージョン</t>
  </si>
  <si>
    <t>このブック内の一部のセルには、他のワークシートの値を参照するデータ入力規則が設定されています。このようなデータ入力規則は保存されません。</t>
  </si>
  <si>
    <t>編成'!T16:U71</t>
  </si>
  <si>
    <t>Excel 97-2003</t>
  </si>
  <si>
    <t>編成'!N1</t>
  </si>
  <si>
    <t>編成'!N16:O71</t>
  </si>
  <si>
    <t>編成'!Q16:R71</t>
  </si>
  <si>
    <t>編成'!F2:G2</t>
  </si>
  <si>
    <t>編成'!AD16:AE71</t>
  </si>
  <si>
    <t>累積警告'!B4:C38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</si>
</sst>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m/d;@"/>
    <numFmt numFmtId="178" formatCode="aaa"/>
    <numFmt numFmtId="179" formatCode="h:mm;@"/>
  </numFmts>
  <fonts count="5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8"/>
      <name val="ＭＳ Ｐゴシック"/>
      <family val="3"/>
      <charset val="128"/>
    </font>
    <font>
      <sz val="8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1"/>
      <color indexed="10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2"/>
      <color indexed="34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6"/>
      <name val="HG丸ｺﾞｼｯｸM-PRO"/>
      <family val="3"/>
      <charset val="128"/>
    </font>
    <font>
      <b/>
      <sz val="11"/>
      <color indexed="16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color indexed="1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color indexed="10"/>
      <name val="HG丸ｺﾞｼｯｸM-PRO"/>
      <family val="3"/>
      <charset val="128"/>
    </font>
    <font>
      <sz val="1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color indexed="3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HGP創英角ｺﾞｼｯｸUB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6"/>
      <color indexed="10"/>
      <name val="HG丸ｺﾞｼｯｸM-PRO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34"/>
      <name val="HG丸ｺﾞｼｯｸM-PRO"/>
      <family val="3"/>
      <charset val="128"/>
    </font>
    <font>
      <sz val="9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name val="HGS創英角ｺﾞｼｯｸUB"/>
      <family val="3"/>
      <charset val="128"/>
    </font>
    <font>
      <sz val="11"/>
      <name val="HG創英角ｺﾞｼｯｸUB"/>
      <family val="3"/>
      <charset val="128"/>
    </font>
    <font>
      <sz val="12"/>
      <name val="HGS創英角ｺﾞｼｯｸUB"/>
      <family val="3"/>
      <charset val="128"/>
    </font>
    <font>
      <sz val="12"/>
      <color indexed="8"/>
      <name val="HGP創英角ｺﾞｼｯｸUB"/>
      <family val="3"/>
      <charset val="128"/>
    </font>
    <font>
      <sz val="11"/>
      <color indexed="8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9.35"/>
      <color theme="1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</fills>
  <borders count="25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mediumDashDotDot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10"/>
      </left>
      <right style="double">
        <color indexed="10"/>
      </right>
      <top style="double">
        <color indexed="10"/>
      </top>
      <bottom style="thin">
        <color indexed="10"/>
      </bottom>
      <diagonal/>
    </border>
    <border>
      <left style="double">
        <color indexed="10"/>
      </left>
      <right style="double">
        <color indexed="10"/>
      </right>
      <top style="thin">
        <color indexed="10"/>
      </top>
      <bottom/>
      <diagonal/>
    </border>
    <border>
      <left style="double">
        <color indexed="10"/>
      </left>
      <right style="double">
        <color indexed="10"/>
      </right>
      <top style="thin">
        <color indexed="10"/>
      </top>
      <bottom style="thin">
        <color indexed="10"/>
      </bottom>
      <diagonal/>
    </border>
    <border>
      <left style="double">
        <color indexed="10"/>
      </left>
      <right style="double">
        <color indexed="10"/>
      </right>
      <top/>
      <bottom style="thin">
        <color indexed="10"/>
      </bottom>
      <diagonal/>
    </border>
    <border>
      <left style="double">
        <color indexed="10"/>
      </left>
      <right style="double">
        <color indexed="10"/>
      </right>
      <top style="thin">
        <color indexed="10"/>
      </top>
      <bottom style="double">
        <color indexed="10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DashDotDot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DashDotDot">
        <color indexed="64"/>
      </top>
      <bottom style="hair">
        <color indexed="64"/>
      </bottom>
      <diagonal/>
    </border>
    <border>
      <left style="hair">
        <color indexed="64"/>
      </left>
      <right/>
      <top style="mediumDashDotDot">
        <color indexed="64"/>
      </top>
      <bottom style="hair">
        <color indexed="64"/>
      </bottom>
      <diagonal/>
    </border>
    <border>
      <left/>
      <right/>
      <top style="mediumDashDotDot">
        <color indexed="64"/>
      </top>
      <bottom style="hair">
        <color indexed="64"/>
      </bottom>
      <diagonal/>
    </border>
    <border>
      <left/>
      <right style="hair">
        <color indexed="64"/>
      </right>
      <top style="mediumDashDotDot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DashDotDot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DashDotDot">
        <color indexed="64"/>
      </bottom>
      <diagonal/>
    </border>
    <border>
      <left style="hair">
        <color indexed="64"/>
      </left>
      <right/>
      <top style="hair">
        <color indexed="64"/>
      </top>
      <bottom style="mediumDashDotDot">
        <color indexed="64"/>
      </bottom>
      <diagonal/>
    </border>
    <border>
      <left/>
      <right/>
      <top style="hair">
        <color indexed="64"/>
      </top>
      <bottom style="mediumDashDotDot">
        <color indexed="64"/>
      </bottom>
      <diagonal/>
    </border>
    <border>
      <left/>
      <right style="hair">
        <color indexed="64"/>
      </right>
      <top style="hair">
        <color indexed="64"/>
      </top>
      <bottom style="mediumDashDotDot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 style="hair">
        <color indexed="64"/>
      </bottom>
      <diagonal/>
    </border>
    <border>
      <left style="thin">
        <color indexed="64"/>
      </left>
      <right/>
      <top style="mediumDashDotDot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DashDotDot">
        <color indexed="64"/>
      </top>
      <bottom style="hair">
        <color indexed="64"/>
      </bottom>
      <diagonal/>
    </border>
    <border>
      <left style="double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DashDotDot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DashDotDot">
        <color indexed="64"/>
      </bottom>
      <diagonal/>
    </border>
    <border>
      <left style="double">
        <color indexed="10"/>
      </left>
      <right style="double">
        <color indexed="10"/>
      </right>
      <top style="double">
        <color indexed="10"/>
      </top>
      <bottom/>
      <diagonal/>
    </border>
    <border>
      <left style="double">
        <color indexed="10"/>
      </left>
      <right style="double">
        <color indexed="10"/>
      </right>
      <top/>
      <bottom/>
      <diagonal/>
    </border>
    <border>
      <left style="double">
        <color indexed="10"/>
      </left>
      <right style="double">
        <color indexed="10"/>
      </right>
      <top/>
      <bottom style="double">
        <color indexed="10"/>
      </bottom>
      <diagonal/>
    </border>
    <border>
      <left style="thin">
        <color indexed="10"/>
      </left>
      <right style="double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10"/>
      </left>
      <right/>
      <top style="double">
        <color indexed="10"/>
      </top>
      <bottom style="hair">
        <color indexed="10"/>
      </bottom>
      <diagonal/>
    </border>
    <border>
      <left/>
      <right/>
      <top style="double">
        <color indexed="10"/>
      </top>
      <bottom style="hair">
        <color indexed="10"/>
      </bottom>
      <diagonal/>
    </border>
    <border>
      <left/>
      <right style="double">
        <color indexed="10"/>
      </right>
      <top style="double">
        <color indexed="10"/>
      </top>
      <bottom style="hair">
        <color indexed="10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10"/>
      </left>
      <right/>
      <top style="hair">
        <color indexed="10"/>
      </top>
      <bottom style="hair">
        <color indexed="10"/>
      </bottom>
      <diagonal/>
    </border>
    <border>
      <left/>
      <right/>
      <top style="hair">
        <color indexed="10"/>
      </top>
      <bottom style="hair">
        <color indexed="10"/>
      </bottom>
      <diagonal/>
    </border>
    <border>
      <left/>
      <right style="double">
        <color indexed="10"/>
      </right>
      <top style="hair">
        <color indexed="10"/>
      </top>
      <bottom style="hair">
        <color indexed="10"/>
      </bottom>
      <diagonal/>
    </border>
    <border>
      <left style="double">
        <color indexed="10"/>
      </left>
      <right/>
      <top/>
      <bottom style="double">
        <color indexed="10"/>
      </bottom>
      <diagonal/>
    </border>
    <border>
      <left/>
      <right/>
      <top/>
      <bottom style="double">
        <color indexed="10"/>
      </bottom>
      <diagonal/>
    </border>
    <border>
      <left/>
      <right style="double">
        <color indexed="10"/>
      </right>
      <top/>
      <bottom style="double">
        <color indexed="1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10"/>
      </left>
      <right/>
      <top style="double">
        <color indexed="10"/>
      </top>
      <bottom/>
      <diagonal/>
    </border>
    <border>
      <left/>
      <right/>
      <top style="double">
        <color indexed="10"/>
      </top>
      <bottom/>
      <diagonal/>
    </border>
    <border>
      <left/>
      <right style="double">
        <color indexed="10"/>
      </right>
      <top style="double">
        <color indexed="10"/>
      </top>
      <bottom/>
      <diagonal/>
    </border>
    <border>
      <left style="double">
        <color indexed="10"/>
      </left>
      <right/>
      <top/>
      <bottom/>
      <diagonal/>
    </border>
    <border>
      <left style="double">
        <color indexed="10"/>
      </left>
      <right/>
      <top/>
      <bottom style="mediumDashDotDot">
        <color indexed="64"/>
      </bottom>
      <diagonal/>
    </border>
    <border>
      <left style="double">
        <color indexed="10"/>
      </left>
      <right/>
      <top/>
      <bottom style="medium">
        <color indexed="64"/>
      </bottom>
      <diagonal/>
    </border>
    <border>
      <left style="double">
        <color indexed="10"/>
      </left>
      <right/>
      <top style="hair">
        <color indexed="10"/>
      </top>
      <bottom style="double">
        <color indexed="10"/>
      </bottom>
      <diagonal/>
    </border>
    <border>
      <left/>
      <right/>
      <top style="hair">
        <color indexed="10"/>
      </top>
      <bottom style="double">
        <color indexed="10"/>
      </bottom>
      <diagonal/>
    </border>
    <border>
      <left/>
      <right style="double">
        <color indexed="10"/>
      </right>
      <top style="hair">
        <color indexed="10"/>
      </top>
      <bottom style="double">
        <color indexed="10"/>
      </bottom>
      <diagonal/>
    </border>
    <border diagonalDown="1">
      <left style="double">
        <color indexed="64"/>
      </left>
      <right/>
      <top style="double">
        <color indexed="64"/>
      </top>
      <bottom/>
      <diagonal style="thin">
        <color indexed="64"/>
      </diagonal>
    </border>
    <border diagonalDown="1">
      <left/>
      <right/>
      <top style="double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top"/>
      <protection locked="0"/>
    </xf>
    <xf numFmtId="0" fontId="4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646">
    <xf numFmtId="0" fontId="0" fillId="0" borderId="0" xfId="0">
      <alignment vertical="center"/>
    </xf>
    <xf numFmtId="0" fontId="3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11" fillId="0" borderId="0" xfId="0" applyFont="1" applyAlignment="1">
      <alignment horizontal="right" vertical="center" shrinkToFit="1"/>
    </xf>
    <xf numFmtId="0" fontId="6" fillId="0" borderId="0" xfId="0" applyFont="1" applyAlignment="1">
      <alignment horizontal="righ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12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13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18" fillId="0" borderId="13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" fillId="0" borderId="3" xfId="3" applyBorder="1">
      <alignment vertical="center"/>
    </xf>
    <xf numFmtId="0" fontId="1" fillId="0" borderId="7" xfId="3" applyBorder="1">
      <alignment vertical="center"/>
    </xf>
    <xf numFmtId="0" fontId="1" fillId="0" borderId="4" xfId="3" applyBorder="1">
      <alignment vertical="center"/>
    </xf>
    <xf numFmtId="0" fontId="1" fillId="0" borderId="0" xfId="3">
      <alignment vertical="center"/>
    </xf>
    <xf numFmtId="0" fontId="1" fillId="0" borderId="1" xfId="3" applyBorder="1">
      <alignment vertical="center"/>
    </xf>
    <xf numFmtId="0" fontId="1" fillId="0" borderId="2" xfId="3" applyBorder="1">
      <alignment vertical="center"/>
    </xf>
    <xf numFmtId="0" fontId="1" fillId="0" borderId="1" xfId="4" applyBorder="1">
      <alignment vertical="center"/>
    </xf>
    <xf numFmtId="0" fontId="1" fillId="0" borderId="2" xfId="4" applyBorder="1">
      <alignment vertical="center"/>
    </xf>
    <xf numFmtId="0" fontId="1" fillId="0" borderId="0" xfId="4">
      <alignment vertical="center"/>
    </xf>
    <xf numFmtId="0" fontId="1" fillId="0" borderId="14" xfId="3" applyBorder="1">
      <alignment vertical="center"/>
    </xf>
    <xf numFmtId="0" fontId="1" fillId="0" borderId="0" xfId="4" applyAlignment="1">
      <alignment horizontal="center" vertical="center" wrapText="1"/>
    </xf>
    <xf numFmtId="20" fontId="1" fillId="0" borderId="0" xfId="4" applyNumberFormat="1" applyAlignment="1">
      <alignment horizontal="center" vertical="center" wrapText="1"/>
    </xf>
    <xf numFmtId="0" fontId="19" fillId="0" borderId="0" xfId="4" applyFont="1" applyAlignment="1">
      <alignment horizontal="center" vertical="center" wrapText="1"/>
    </xf>
    <xf numFmtId="0" fontId="19" fillId="0" borderId="0" xfId="4" applyFont="1" applyAlignment="1">
      <alignment horizontal="center" vertical="center"/>
    </xf>
    <xf numFmtId="0" fontId="1" fillId="0" borderId="5" xfId="3" applyBorder="1">
      <alignment vertical="center"/>
    </xf>
    <xf numFmtId="0" fontId="1" fillId="0" borderId="15" xfId="3" applyBorder="1">
      <alignment vertical="center"/>
    </xf>
    <xf numFmtId="0" fontId="1" fillId="0" borderId="6" xfId="4" applyBorder="1">
      <alignment vertical="center"/>
    </xf>
    <xf numFmtId="0" fontId="17" fillId="2" borderId="3" xfId="3" applyFont="1" applyFill="1" applyBorder="1" applyAlignment="1">
      <alignment horizontal="center" vertical="center" shrinkToFit="1"/>
    </xf>
    <xf numFmtId="0" fontId="17" fillId="2" borderId="1" xfId="3" applyFont="1" applyFill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0" fontId="1" fillId="0" borderId="16" xfId="4" applyBorder="1">
      <alignment vertical="center"/>
    </xf>
    <xf numFmtId="0" fontId="1" fillId="0" borderId="16" xfId="3" applyBorder="1">
      <alignment vertical="center"/>
    </xf>
    <xf numFmtId="0" fontId="1" fillId="0" borderId="17" xfId="3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shrinkToFit="1"/>
    </xf>
    <xf numFmtId="0" fontId="4" fillId="0" borderId="14" xfId="0" applyFont="1" applyBorder="1" applyAlignment="1" applyProtection="1">
      <alignment horizontal="left" vertical="center" shrinkToFit="1"/>
      <protection locked="0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15" xfId="0" applyFont="1" applyBorder="1" applyAlignment="1">
      <alignment horizontal="center" vertical="center" shrinkToFit="1"/>
    </xf>
    <xf numFmtId="0" fontId="17" fillId="0" borderId="18" xfId="0" applyFont="1" applyBorder="1" applyAlignment="1">
      <alignment horizontal="center" vertical="center" shrinkToFit="1"/>
    </xf>
    <xf numFmtId="0" fontId="17" fillId="0" borderId="19" xfId="0" applyFont="1" applyBorder="1" applyAlignment="1">
      <alignment horizontal="center" vertical="center" shrinkToFit="1"/>
    </xf>
    <xf numFmtId="0" fontId="17" fillId="0" borderId="20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21" fillId="0" borderId="0" xfId="0" applyFont="1" applyAlignment="1">
      <alignment horizontal="left" vertical="center"/>
    </xf>
    <xf numFmtId="0" fontId="17" fillId="0" borderId="21" xfId="0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22" fillId="0" borderId="0" xfId="0" applyFont="1" applyAlignment="1">
      <alignment horizontal="left" vertical="center"/>
    </xf>
    <xf numFmtId="0" fontId="17" fillId="0" borderId="12" xfId="0" applyFont="1" applyBorder="1" applyAlignment="1">
      <alignment horizontal="center" vertical="center" shrinkToFit="1"/>
    </xf>
    <xf numFmtId="0" fontId="20" fillId="0" borderId="14" xfId="4" applyFont="1" applyBorder="1" applyAlignment="1">
      <alignment horizontal="left" vertical="center"/>
    </xf>
    <xf numFmtId="56" fontId="25" fillId="0" borderId="3" xfId="3" applyNumberFormat="1" applyFont="1" applyBorder="1" applyAlignment="1">
      <alignment horizontal="center" vertical="center" shrinkToFit="1"/>
    </xf>
    <xf numFmtId="20" fontId="25" fillId="0" borderId="1" xfId="3" applyNumberFormat="1" applyFont="1" applyBorder="1" applyAlignment="1">
      <alignment horizontal="center" vertical="center" shrinkToFit="1"/>
    </xf>
    <xf numFmtId="176" fontId="25" fillId="0" borderId="1" xfId="3" applyNumberFormat="1" applyFont="1" applyBorder="1" applyAlignment="1">
      <alignment horizontal="center" vertical="center" shrinkToFit="1"/>
    </xf>
    <xf numFmtId="0" fontId="24" fillId="0" borderId="22" xfId="3" applyFont="1" applyBorder="1" applyAlignment="1">
      <alignment horizontal="center" vertical="center" shrinkToFit="1"/>
    </xf>
    <xf numFmtId="0" fontId="26" fillId="0" borderId="0" xfId="0" applyFont="1" applyAlignment="1">
      <alignment horizontal="left" vertical="center"/>
    </xf>
    <xf numFmtId="0" fontId="25" fillId="0" borderId="0" xfId="3" applyFont="1">
      <alignment vertical="center"/>
    </xf>
    <xf numFmtId="0" fontId="1" fillId="0" borderId="14" xfId="4" applyBorder="1">
      <alignment vertical="center"/>
    </xf>
    <xf numFmtId="0" fontId="1" fillId="0" borderId="14" xfId="4" applyBorder="1" applyAlignment="1">
      <alignment horizontal="left" vertical="center"/>
    </xf>
    <xf numFmtId="0" fontId="17" fillId="0" borderId="2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29" fillId="0" borderId="24" xfId="0" applyFont="1" applyBorder="1" applyAlignment="1">
      <alignment horizontal="center" vertical="center" shrinkToFit="1"/>
    </xf>
    <xf numFmtId="0" fontId="29" fillId="0" borderId="25" xfId="0" applyFont="1" applyBorder="1" applyAlignment="1">
      <alignment horizontal="center" vertical="center" shrinkToFit="1"/>
    </xf>
    <xf numFmtId="0" fontId="29" fillId="0" borderId="26" xfId="0" applyFont="1" applyBorder="1" applyAlignment="1">
      <alignment horizontal="center" vertical="center" shrinkToFit="1"/>
    </xf>
    <xf numFmtId="0" fontId="29" fillId="0" borderId="27" xfId="0" applyFont="1" applyBorder="1" applyAlignment="1">
      <alignment horizontal="center" vertical="center" shrinkToFit="1"/>
    </xf>
    <xf numFmtId="177" fontId="28" fillId="0" borderId="24" xfId="0" applyNumberFormat="1" applyFont="1" applyBorder="1" applyAlignment="1">
      <alignment horizontal="center" vertical="center" shrinkToFit="1"/>
    </xf>
    <xf numFmtId="177" fontId="28" fillId="0" borderId="25" xfId="0" applyNumberFormat="1" applyFont="1" applyBorder="1" applyAlignment="1">
      <alignment horizontal="center" vertical="center" shrinkToFit="1"/>
    </xf>
    <xf numFmtId="177" fontId="28" fillId="0" borderId="26" xfId="0" applyNumberFormat="1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16" fillId="3" borderId="0" xfId="0" applyFont="1" applyFill="1" applyAlignment="1" applyProtection="1">
      <alignment horizontal="center" vertical="center" shrinkToFit="1"/>
      <protection locked="0"/>
    </xf>
    <xf numFmtId="178" fontId="29" fillId="0" borderId="28" xfId="0" applyNumberFormat="1" applyFont="1" applyBorder="1" applyAlignment="1">
      <alignment horizontal="center" vertical="center" shrinkToFit="1"/>
    </xf>
    <xf numFmtId="0" fontId="19" fillId="0" borderId="0" xfId="0" applyFont="1" applyAlignment="1">
      <alignment horizontal="left" vertical="center"/>
    </xf>
    <xf numFmtId="0" fontId="11" fillId="0" borderId="29" xfId="0" applyFont="1" applyBorder="1" applyAlignment="1">
      <alignment horizontal="right" vertical="center"/>
    </xf>
    <xf numFmtId="0" fontId="31" fillId="0" borderId="0" xfId="0" applyFont="1" applyAlignment="1">
      <alignment horizontal="left" vertical="center"/>
    </xf>
    <xf numFmtId="49" fontId="16" fillId="0" borderId="0" xfId="0" applyNumberFormat="1" applyFont="1" applyAlignment="1" applyProtection="1">
      <alignment horizontal="center" vertical="center" shrinkToFit="1"/>
      <protection locked="0"/>
    </xf>
    <xf numFmtId="0" fontId="7" fillId="0" borderId="30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17" fillId="0" borderId="31" xfId="0" applyFont="1" applyBorder="1" applyAlignment="1">
      <alignment horizontal="center" vertical="center" shrinkToFit="1"/>
    </xf>
    <xf numFmtId="0" fontId="17" fillId="0" borderId="32" xfId="0" applyFont="1" applyBorder="1" applyAlignment="1">
      <alignment horizontal="center" vertical="center" shrinkToFit="1"/>
    </xf>
    <xf numFmtId="0" fontId="17" fillId="0" borderId="33" xfId="0" applyFont="1" applyBorder="1" applyAlignment="1">
      <alignment horizontal="center" vertical="center" shrinkToFit="1"/>
    </xf>
    <xf numFmtId="0" fontId="17" fillId="0" borderId="34" xfId="0" applyFont="1" applyBorder="1" applyAlignment="1">
      <alignment horizontal="center" vertical="center" shrinkToFit="1"/>
    </xf>
    <xf numFmtId="0" fontId="17" fillId="0" borderId="35" xfId="0" applyFont="1" applyBorder="1" applyAlignment="1">
      <alignment horizontal="center" vertical="center" shrinkToFit="1"/>
    </xf>
    <xf numFmtId="0" fontId="17" fillId="0" borderId="36" xfId="0" applyFont="1" applyBorder="1" applyAlignment="1">
      <alignment horizontal="center" vertical="center" shrinkToFit="1"/>
    </xf>
    <xf numFmtId="0" fontId="17" fillId="0" borderId="37" xfId="0" applyFont="1" applyBorder="1" applyAlignment="1">
      <alignment horizontal="center" vertical="center" shrinkToFit="1"/>
    </xf>
    <xf numFmtId="0" fontId="17" fillId="0" borderId="38" xfId="0" applyFont="1" applyBorder="1" applyAlignment="1">
      <alignment horizontal="center" vertical="center" shrinkToFit="1"/>
    </xf>
    <xf numFmtId="0" fontId="17" fillId="2" borderId="39" xfId="3" applyFont="1" applyFill="1" applyBorder="1" applyAlignment="1">
      <alignment horizontal="center" vertical="center" shrinkToFit="1"/>
    </xf>
    <xf numFmtId="0" fontId="17" fillId="2" borderId="40" xfId="3" applyFont="1" applyFill="1" applyBorder="1" applyAlignment="1">
      <alignment horizontal="center" vertical="center" shrinkToFit="1"/>
    </xf>
    <xf numFmtId="0" fontId="20" fillId="0" borderId="14" xfId="4" applyFont="1" applyBorder="1" applyAlignment="1">
      <alignment horizontal="right" vertical="center"/>
    </xf>
    <xf numFmtId="0" fontId="24" fillId="0" borderId="0" xfId="0" applyFont="1" applyAlignment="1">
      <alignment horizontal="left" vertical="center"/>
    </xf>
    <xf numFmtId="176" fontId="3" fillId="0" borderId="41" xfId="0" applyNumberFormat="1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176" fontId="3" fillId="0" borderId="21" xfId="0" applyNumberFormat="1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30" fillId="0" borderId="36" xfId="0" applyFont="1" applyBorder="1" applyAlignment="1">
      <alignment horizontal="center" vertical="center" shrinkToFit="1"/>
    </xf>
    <xf numFmtId="0" fontId="30" fillId="0" borderId="31" xfId="0" applyFont="1" applyBorder="1" applyAlignment="1">
      <alignment horizontal="center" vertical="center" shrinkToFit="1"/>
    </xf>
    <xf numFmtId="177" fontId="28" fillId="0" borderId="27" xfId="0" applyNumberFormat="1" applyFont="1" applyBorder="1" applyAlignment="1">
      <alignment horizontal="center" vertical="center" shrinkToFit="1"/>
    </xf>
    <xf numFmtId="0" fontId="1" fillId="0" borderId="42" xfId="4" applyBorder="1" applyAlignment="1">
      <alignment horizontal="left" vertical="top"/>
    </xf>
    <xf numFmtId="0" fontId="1" fillId="0" borderId="21" xfId="4" applyBorder="1" applyAlignment="1">
      <alignment horizontal="left" vertical="top"/>
    </xf>
    <xf numFmtId="0" fontId="35" fillId="0" borderId="1" xfId="3" applyFont="1" applyBorder="1">
      <alignment vertical="center"/>
    </xf>
    <xf numFmtId="0" fontId="35" fillId="0" borderId="0" xfId="3" applyFont="1">
      <alignment vertical="center"/>
    </xf>
    <xf numFmtId="0" fontId="35" fillId="0" borderId="0" xfId="3" applyFont="1" applyAlignment="1">
      <alignment horizontal="center" vertical="center"/>
    </xf>
    <xf numFmtId="0" fontId="35" fillId="0" borderId="2" xfId="3" applyFont="1" applyBorder="1">
      <alignment vertical="center"/>
    </xf>
    <xf numFmtId="0" fontId="36" fillId="0" borderId="2" xfId="3" applyFont="1" applyBorder="1">
      <alignment vertical="center"/>
    </xf>
    <xf numFmtId="0" fontId="23" fillId="0" borderId="0" xfId="4" applyFont="1" applyAlignment="1">
      <alignment horizontal="left" vertical="center"/>
    </xf>
    <xf numFmtId="0" fontId="19" fillId="0" borderId="14" xfId="4" applyFont="1" applyBorder="1" applyAlignment="1">
      <alignment horizontal="left" vertical="center"/>
    </xf>
    <xf numFmtId="0" fontId="23" fillId="0" borderId="14" xfId="4" applyFont="1" applyBorder="1" applyAlignment="1">
      <alignment horizontal="left" vertical="center"/>
    </xf>
    <xf numFmtId="0" fontId="24" fillId="0" borderId="14" xfId="4" applyFont="1" applyBorder="1">
      <alignment vertical="center"/>
    </xf>
    <xf numFmtId="0" fontId="19" fillId="0" borderId="14" xfId="4" applyFont="1" applyBorder="1">
      <alignment vertical="center"/>
    </xf>
    <xf numFmtId="0" fontId="2" fillId="0" borderId="1" xfId="4" applyFont="1" applyBorder="1">
      <alignment vertical="center"/>
    </xf>
    <xf numFmtId="0" fontId="2" fillId="0" borderId="0" xfId="4" applyFont="1">
      <alignment vertical="center"/>
    </xf>
    <xf numFmtId="0" fontId="37" fillId="0" borderId="0" xfId="4" applyFont="1">
      <alignment vertical="center"/>
    </xf>
    <xf numFmtId="0" fontId="37" fillId="0" borderId="0" xfId="4" applyFont="1" applyAlignment="1">
      <alignment horizontal="left" vertical="center"/>
    </xf>
    <xf numFmtId="0" fontId="2" fillId="0" borderId="0" xfId="4" applyFont="1" applyAlignment="1">
      <alignment horizontal="left" vertical="center"/>
    </xf>
    <xf numFmtId="0" fontId="2" fillId="0" borderId="2" xfId="4" applyFont="1" applyBorder="1">
      <alignment vertical="center"/>
    </xf>
    <xf numFmtId="0" fontId="38" fillId="0" borderId="0" xfId="0" applyFont="1" applyAlignment="1">
      <alignment horizontal="center" vertical="center"/>
    </xf>
    <xf numFmtId="0" fontId="36" fillId="0" borderId="17" xfId="4" applyFont="1" applyBorder="1" applyAlignment="1">
      <alignment horizontal="left" vertical="top"/>
    </xf>
    <xf numFmtId="0" fontId="36" fillId="0" borderId="43" xfId="4" applyFont="1" applyBorder="1" applyAlignment="1">
      <alignment horizontal="left" vertical="top"/>
    </xf>
    <xf numFmtId="0" fontId="36" fillId="0" borderId="0" xfId="4" applyFont="1" applyAlignment="1">
      <alignment horizontal="left" vertical="top"/>
    </xf>
    <xf numFmtId="0" fontId="36" fillId="0" borderId="44" xfId="4" applyFont="1" applyBorder="1" applyAlignment="1">
      <alignment horizontal="left" vertical="top"/>
    </xf>
    <xf numFmtId="0" fontId="36" fillId="0" borderId="14" xfId="4" applyFont="1" applyBorder="1" applyAlignment="1">
      <alignment horizontal="left" vertical="top"/>
    </xf>
    <xf numFmtId="0" fontId="36" fillId="0" borderId="45" xfId="4" applyFont="1" applyBorder="1" applyAlignment="1">
      <alignment horizontal="left" vertical="top"/>
    </xf>
    <xf numFmtId="0" fontId="0" fillId="0" borderId="15" xfId="0" applyBorder="1">
      <alignment vertical="center"/>
    </xf>
    <xf numFmtId="0" fontId="0" fillId="0" borderId="2" xfId="0" applyBorder="1">
      <alignment vertical="center"/>
    </xf>
    <xf numFmtId="0" fontId="0" fillId="0" borderId="3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9" fillId="0" borderId="0" xfId="0" applyFont="1">
      <alignment vertical="center"/>
    </xf>
    <xf numFmtId="0" fontId="0" fillId="0" borderId="49" xfId="0" applyBorder="1">
      <alignment vertical="center"/>
    </xf>
    <xf numFmtId="0" fontId="0" fillId="0" borderId="5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25" fillId="0" borderId="0" xfId="0" applyFont="1">
      <alignment vertical="center"/>
    </xf>
    <xf numFmtId="0" fontId="25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shrinkToFit="1"/>
    </xf>
    <xf numFmtId="0" fontId="41" fillId="0" borderId="31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177" fontId="0" fillId="0" borderId="52" xfId="0" applyNumberFormat="1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177" fontId="0" fillId="0" borderId="54" xfId="0" applyNumberFormat="1" applyBorder="1" applyAlignment="1">
      <alignment horizontal="center" vertical="center" shrinkToFit="1"/>
    </xf>
    <xf numFmtId="0" fontId="3" fillId="0" borderId="55" xfId="0" applyFont="1" applyBorder="1" applyAlignment="1">
      <alignment horizontal="center" vertical="center" shrinkToFit="1"/>
    </xf>
    <xf numFmtId="177" fontId="0" fillId="0" borderId="56" xfId="0" applyNumberFormat="1" applyBorder="1" applyAlignment="1">
      <alignment horizontal="center" vertical="center" shrinkToFit="1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0" fillId="0" borderId="59" xfId="0" applyBorder="1">
      <alignment vertical="center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0" fillId="0" borderId="62" xfId="0" applyBorder="1">
      <alignment vertical="center"/>
    </xf>
    <xf numFmtId="0" fontId="0" fillId="0" borderId="7" xfId="0" applyBorder="1">
      <alignment vertical="center"/>
    </xf>
    <xf numFmtId="0" fontId="9" fillId="0" borderId="46" xfId="0" applyFont="1" applyBorder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3" fillId="0" borderId="30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11" fillId="4" borderId="30" xfId="0" applyFont="1" applyFill="1" applyBorder="1" applyAlignment="1" applyProtection="1">
      <alignment horizontal="center" vertical="center"/>
      <protection locked="0"/>
    </xf>
    <xf numFmtId="0" fontId="3" fillId="5" borderId="30" xfId="0" applyFont="1" applyFill="1" applyBorder="1">
      <alignment vertical="center"/>
    </xf>
    <xf numFmtId="0" fontId="3" fillId="0" borderId="0" xfId="0" applyFont="1">
      <alignment vertical="center"/>
    </xf>
    <xf numFmtId="177" fontId="3" fillId="6" borderId="30" xfId="0" applyNumberFormat="1" applyFont="1" applyFill="1" applyBorder="1" applyAlignment="1">
      <alignment horizontal="center" vertical="center" shrinkToFit="1"/>
    </xf>
    <xf numFmtId="0" fontId="0" fillId="0" borderId="63" xfId="0" applyBorder="1">
      <alignment vertical="center"/>
    </xf>
    <xf numFmtId="0" fontId="0" fillId="0" borderId="64" xfId="0" applyBorder="1">
      <alignment vertical="center"/>
    </xf>
    <xf numFmtId="0" fontId="0" fillId="0" borderId="65" xfId="0" applyBorder="1">
      <alignment vertical="center"/>
    </xf>
    <xf numFmtId="0" fontId="0" fillId="0" borderId="65" xfId="0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0" fontId="3" fillId="7" borderId="66" xfId="0" applyFont="1" applyFill="1" applyBorder="1" applyAlignment="1">
      <alignment horizontal="center" vertical="center"/>
    </xf>
    <xf numFmtId="0" fontId="3" fillId="7" borderId="66" xfId="0" applyFont="1" applyFill="1" applyBorder="1" applyAlignment="1">
      <alignment horizontal="center" vertical="center" shrinkToFit="1"/>
    </xf>
    <xf numFmtId="177" fontId="28" fillId="0" borderId="47" xfId="0" applyNumberFormat="1" applyFont="1" applyBorder="1" applyAlignment="1">
      <alignment horizontal="center" vertical="center" shrinkToFit="1"/>
    </xf>
    <xf numFmtId="0" fontId="29" fillId="0" borderId="47" xfId="0" applyFont="1" applyBorder="1" applyAlignment="1">
      <alignment horizontal="center" vertical="center" shrinkToFit="1"/>
    </xf>
    <xf numFmtId="0" fontId="41" fillId="0" borderId="1" xfId="0" applyFont="1" applyBorder="1" applyAlignment="1">
      <alignment horizontal="center" vertical="center" shrinkToFit="1"/>
    </xf>
    <xf numFmtId="177" fontId="0" fillId="0" borderId="67" xfId="0" applyNumberFormat="1" applyBorder="1" applyAlignment="1">
      <alignment horizontal="center" vertical="center" shrinkToFit="1"/>
    </xf>
    <xf numFmtId="0" fontId="41" fillId="0" borderId="3" xfId="0" applyFont="1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30" fillId="0" borderId="68" xfId="0" applyFont="1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30" fillId="0" borderId="69" xfId="0" applyFont="1" applyBorder="1" applyAlignment="1">
      <alignment horizontal="center" vertical="center" shrinkToFit="1"/>
    </xf>
    <xf numFmtId="177" fontId="0" fillId="0" borderId="70" xfId="0" applyNumberFormat="1" applyBorder="1" applyAlignment="1">
      <alignment horizontal="center" vertical="center" shrinkToFit="1"/>
    </xf>
    <xf numFmtId="177" fontId="28" fillId="0" borderId="68" xfId="0" applyNumberFormat="1" applyFont="1" applyBorder="1" applyAlignment="1">
      <alignment horizontal="center" vertical="center" shrinkToFit="1"/>
    </xf>
    <xf numFmtId="177" fontId="28" fillId="0" borderId="31" xfId="0" applyNumberFormat="1" applyFont="1" applyBorder="1" applyAlignment="1">
      <alignment horizontal="center" vertical="center" shrinkToFit="1"/>
    </xf>
    <xf numFmtId="177" fontId="3" fillId="6" borderId="71" xfId="0" applyNumberFormat="1" applyFont="1" applyFill="1" applyBorder="1" applyAlignment="1">
      <alignment horizontal="center" vertical="center" shrinkToFit="1"/>
    </xf>
    <xf numFmtId="177" fontId="3" fillId="6" borderId="72" xfId="0" applyNumberFormat="1" applyFont="1" applyFill="1" applyBorder="1" applyAlignment="1">
      <alignment horizontal="center" vertical="center" shrinkToFit="1"/>
    </xf>
    <xf numFmtId="177" fontId="3" fillId="6" borderId="73" xfId="0" applyNumberFormat="1" applyFont="1" applyFill="1" applyBorder="1" applyAlignment="1">
      <alignment horizontal="center" vertical="center" shrinkToFit="1"/>
    </xf>
    <xf numFmtId="177" fontId="3" fillId="6" borderId="74" xfId="0" applyNumberFormat="1" applyFont="1" applyFill="1" applyBorder="1" applyAlignment="1">
      <alignment horizontal="center" vertical="center" shrinkToFit="1"/>
    </xf>
    <xf numFmtId="177" fontId="3" fillId="6" borderId="75" xfId="0" applyNumberFormat="1" applyFont="1" applyFill="1" applyBorder="1" applyAlignment="1">
      <alignment horizontal="center" vertical="center" shrinkToFit="1"/>
    </xf>
    <xf numFmtId="0" fontId="3" fillId="8" borderId="30" xfId="0" applyFont="1" applyFill="1" applyBorder="1" applyAlignment="1">
      <alignment horizontal="center" vertical="center"/>
    </xf>
    <xf numFmtId="0" fontId="0" fillId="0" borderId="76" xfId="0" applyBorder="1" applyAlignment="1">
      <alignment horizontal="center" vertical="center" shrinkToFit="1"/>
    </xf>
    <xf numFmtId="0" fontId="0" fillId="0" borderId="77" xfId="0" applyBorder="1" applyAlignment="1">
      <alignment horizontal="center" vertical="center" shrinkToFit="1"/>
    </xf>
    <xf numFmtId="0" fontId="0" fillId="0" borderId="78" xfId="0" applyBorder="1" applyAlignment="1">
      <alignment horizontal="center" vertical="center" shrinkToFit="1"/>
    </xf>
    <xf numFmtId="0" fontId="0" fillId="0" borderId="79" xfId="0" applyBorder="1" applyAlignment="1">
      <alignment horizontal="center" vertical="center" shrinkToFit="1"/>
    </xf>
    <xf numFmtId="0" fontId="0" fillId="0" borderId="80" xfId="0" applyBorder="1" applyAlignment="1">
      <alignment horizontal="center" vertical="center" shrinkToFit="1"/>
    </xf>
    <xf numFmtId="0" fontId="44" fillId="0" borderId="0" xfId="0" applyFont="1">
      <alignment vertical="center"/>
    </xf>
    <xf numFmtId="0" fontId="32" fillId="0" borderId="0" xfId="0" applyFont="1">
      <alignment vertical="center"/>
    </xf>
    <xf numFmtId="0" fontId="23" fillId="0" borderId="0" xfId="0" applyFont="1">
      <alignment vertical="center"/>
    </xf>
    <xf numFmtId="0" fontId="0" fillId="0" borderId="0" xfId="0" applyAlignment="1">
      <alignment vertical="center" shrinkToFit="1"/>
    </xf>
    <xf numFmtId="0" fontId="45" fillId="0" borderId="0" xfId="0" applyFont="1" applyAlignment="1">
      <alignment horizontal="center" vertical="center" shrinkToFit="1"/>
    </xf>
    <xf numFmtId="0" fontId="44" fillId="0" borderId="0" xfId="0" applyFont="1" applyAlignment="1">
      <alignment horizontal="right" vertical="center"/>
    </xf>
    <xf numFmtId="0" fontId="33" fillId="0" borderId="81" xfId="2" applyFont="1" applyBorder="1" applyAlignment="1">
      <alignment horizontal="center" vertical="center"/>
    </xf>
    <xf numFmtId="0" fontId="33" fillId="0" borderId="82" xfId="2" applyFont="1" applyBorder="1" applyAlignment="1">
      <alignment horizontal="center" vertical="center"/>
    </xf>
    <xf numFmtId="0" fontId="33" fillId="0" borderId="56" xfId="2" applyFont="1" applyBorder="1" applyAlignment="1">
      <alignment horizontal="center" vertical="center"/>
    </xf>
    <xf numFmtId="0" fontId="33" fillId="0" borderId="83" xfId="2" applyFont="1" applyBorder="1" applyAlignment="1">
      <alignment horizontal="center" vertical="center"/>
    </xf>
    <xf numFmtId="0" fontId="33" fillId="0" borderId="84" xfId="2" applyFont="1" applyBorder="1" applyAlignment="1">
      <alignment horizontal="center" vertical="center"/>
    </xf>
    <xf numFmtId="0" fontId="33" fillId="0" borderId="85" xfId="2" applyFont="1" applyBorder="1" applyAlignment="1">
      <alignment horizontal="center" vertical="center"/>
    </xf>
    <xf numFmtId="0" fontId="0" fillId="0" borderId="35" xfId="0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shrinkToFit="1"/>
    </xf>
    <xf numFmtId="177" fontId="3" fillId="0" borderId="86" xfId="0" applyNumberFormat="1" applyFont="1" applyBorder="1" applyAlignment="1">
      <alignment horizontal="center" vertical="center" shrinkToFit="1"/>
    </xf>
    <xf numFmtId="0" fontId="0" fillId="0" borderId="86" xfId="0" applyBorder="1" applyAlignment="1">
      <alignment horizontal="center" vertical="center" shrinkToFit="1"/>
    </xf>
    <xf numFmtId="179" fontId="3" fillId="0" borderId="86" xfId="0" applyNumberFormat="1" applyFont="1" applyBorder="1" applyAlignment="1">
      <alignment horizontal="center" vertical="center" shrinkToFit="1"/>
    </xf>
    <xf numFmtId="0" fontId="0" fillId="0" borderId="60" xfId="0" applyBorder="1" applyAlignment="1">
      <alignment horizontal="center" vertical="center" shrinkToFit="1"/>
    </xf>
    <xf numFmtId="0" fontId="0" fillId="0" borderId="87" xfId="0" applyBorder="1" applyAlignment="1">
      <alignment horizontal="center" vertical="center" shrinkToFit="1"/>
    </xf>
    <xf numFmtId="0" fontId="3" fillId="0" borderId="88" xfId="0" applyFont="1" applyBorder="1" applyAlignment="1">
      <alignment horizontal="center" vertical="center" shrinkToFit="1"/>
    </xf>
    <xf numFmtId="177" fontId="3" fillId="0" borderId="65" xfId="0" applyNumberFormat="1" applyFont="1" applyBorder="1" applyAlignment="1">
      <alignment horizontal="center" vertical="center" shrinkToFit="1"/>
    </xf>
    <xf numFmtId="0" fontId="0" fillId="0" borderId="65" xfId="0" applyBorder="1" applyAlignment="1">
      <alignment horizontal="center" vertical="center" shrinkToFit="1"/>
    </xf>
    <xf numFmtId="179" fontId="3" fillId="0" borderId="65" xfId="0" applyNumberFormat="1" applyFont="1" applyBorder="1" applyAlignment="1">
      <alignment horizontal="center" vertical="center" shrinkToFit="1"/>
    </xf>
    <xf numFmtId="0" fontId="0" fillId="0" borderId="89" xfId="0" applyBorder="1" applyAlignment="1">
      <alignment horizontal="center" vertical="center" shrinkToFit="1"/>
    </xf>
    <xf numFmtId="0" fontId="0" fillId="0" borderId="90" xfId="0" applyBorder="1" applyAlignment="1">
      <alignment horizontal="center" vertical="center" shrinkToFit="1"/>
    </xf>
    <xf numFmtId="0" fontId="10" fillId="0" borderId="90" xfId="0" applyFont="1" applyBorder="1" applyAlignment="1">
      <alignment horizontal="center" vertical="center" shrinkToFit="1"/>
    </xf>
    <xf numFmtId="0" fontId="0" fillId="0" borderId="64" xfId="0" applyBorder="1" applyAlignment="1">
      <alignment horizontal="center" vertical="center" shrinkToFit="1"/>
    </xf>
    <xf numFmtId="0" fontId="11" fillId="6" borderId="90" xfId="0" applyFont="1" applyFill="1" applyBorder="1" applyAlignment="1">
      <alignment horizontal="center" vertical="center" shrinkToFit="1"/>
    </xf>
    <xf numFmtId="0" fontId="11" fillId="6" borderId="91" xfId="0" applyFont="1" applyFill="1" applyBorder="1" applyAlignment="1">
      <alignment horizontal="center" vertical="center" shrinkToFit="1"/>
    </xf>
    <xf numFmtId="0" fontId="11" fillId="6" borderId="35" xfId="0" applyFont="1" applyFill="1" applyBorder="1" applyAlignment="1">
      <alignment horizontal="center" vertical="center" shrinkToFit="1"/>
    </xf>
    <xf numFmtId="0" fontId="11" fillId="6" borderId="32" xfId="0" applyFont="1" applyFill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0" fontId="3" fillId="0" borderId="92" xfId="0" applyFont="1" applyBorder="1" applyAlignment="1">
      <alignment horizontal="center" vertical="center" shrinkToFit="1"/>
    </xf>
    <xf numFmtId="177" fontId="3" fillId="0" borderId="93" xfId="0" applyNumberFormat="1" applyFont="1" applyBorder="1" applyAlignment="1">
      <alignment horizontal="center" vertical="center" shrinkToFit="1"/>
    </xf>
    <xf numFmtId="0" fontId="0" fillId="0" borderId="93" xfId="0" applyBorder="1" applyAlignment="1">
      <alignment horizontal="center" vertical="center" shrinkToFit="1"/>
    </xf>
    <xf numFmtId="179" fontId="3" fillId="0" borderId="93" xfId="0" applyNumberFormat="1" applyFont="1" applyBorder="1" applyAlignment="1">
      <alignment horizontal="center" vertical="center" shrinkToFit="1"/>
    </xf>
    <xf numFmtId="0" fontId="0" fillId="0" borderId="94" xfId="0" applyBorder="1" applyAlignment="1">
      <alignment horizontal="center" vertical="center" shrinkToFit="1"/>
    </xf>
    <xf numFmtId="0" fontId="11" fillId="6" borderId="95" xfId="0" applyFont="1" applyFill="1" applyBorder="1" applyAlignment="1">
      <alignment horizontal="center" vertical="center" shrinkToFit="1"/>
    </xf>
    <xf numFmtId="0" fontId="0" fillId="0" borderId="95" xfId="0" applyBorder="1" applyAlignment="1">
      <alignment horizontal="center" vertical="center" shrinkToFit="1"/>
    </xf>
    <xf numFmtId="0" fontId="10" fillId="0" borderId="95" xfId="0" applyFont="1" applyBorder="1" applyAlignment="1">
      <alignment horizontal="center" vertical="center" shrinkToFit="1"/>
    </xf>
    <xf numFmtId="0" fontId="0" fillId="0" borderId="96" xfId="0" applyBorder="1" applyAlignment="1">
      <alignment horizontal="center" vertical="center" shrinkToFit="1"/>
    </xf>
    <xf numFmtId="0" fontId="3" fillId="0" borderId="97" xfId="0" applyFont="1" applyBorder="1" applyAlignment="1">
      <alignment horizontal="center" vertical="center" shrinkToFit="1"/>
    </xf>
    <xf numFmtId="177" fontId="3" fillId="0" borderId="98" xfId="0" applyNumberFormat="1" applyFont="1" applyBorder="1" applyAlignment="1">
      <alignment horizontal="center" vertical="center" shrinkToFit="1"/>
    </xf>
    <xf numFmtId="0" fontId="0" fillId="0" borderId="98" xfId="0" applyBorder="1" applyAlignment="1">
      <alignment horizontal="center" vertical="center" shrinkToFit="1"/>
    </xf>
    <xf numFmtId="179" fontId="3" fillId="0" borderId="98" xfId="0" applyNumberFormat="1" applyFont="1" applyBorder="1" applyAlignment="1">
      <alignment horizontal="center" vertical="center" shrinkToFit="1"/>
    </xf>
    <xf numFmtId="0" fontId="0" fillId="0" borderId="99" xfId="0" applyBorder="1" applyAlignment="1">
      <alignment horizontal="center" vertical="center" shrinkToFit="1"/>
    </xf>
    <xf numFmtId="0" fontId="0" fillId="0" borderId="91" xfId="0" applyBorder="1" applyAlignment="1">
      <alignment horizontal="center" vertical="center" shrinkToFit="1"/>
    </xf>
    <xf numFmtId="0" fontId="10" fillId="0" borderId="91" xfId="0" applyFont="1" applyBorder="1" applyAlignment="1">
      <alignment horizontal="center" vertical="center" shrinkToFit="1"/>
    </xf>
    <xf numFmtId="0" fontId="0" fillId="0" borderId="100" xfId="0" applyBorder="1" applyAlignment="1">
      <alignment horizontal="center" vertical="center" shrinkToFit="1"/>
    </xf>
    <xf numFmtId="0" fontId="3" fillId="0" borderId="101" xfId="0" applyFont="1" applyBorder="1" applyAlignment="1">
      <alignment horizontal="center" vertical="center" shrinkToFit="1"/>
    </xf>
    <xf numFmtId="177" fontId="3" fillId="0" borderId="102" xfId="0" applyNumberFormat="1" applyFont="1" applyBorder="1" applyAlignment="1">
      <alignment horizontal="center" vertical="center" shrinkToFit="1"/>
    </xf>
    <xf numFmtId="0" fontId="0" fillId="0" borderId="102" xfId="0" applyBorder="1" applyAlignment="1">
      <alignment horizontal="center" vertical="center" shrinkToFit="1"/>
    </xf>
    <xf numFmtId="179" fontId="3" fillId="0" borderId="102" xfId="0" applyNumberFormat="1" applyFont="1" applyBorder="1" applyAlignment="1">
      <alignment horizontal="center" vertical="center" shrinkToFit="1"/>
    </xf>
    <xf numFmtId="0" fontId="0" fillId="0" borderId="103" xfId="0" applyBorder="1" applyAlignment="1">
      <alignment horizontal="center" vertical="center" shrinkToFit="1"/>
    </xf>
    <xf numFmtId="0" fontId="11" fillId="6" borderId="104" xfId="0" applyFont="1" applyFill="1" applyBorder="1" applyAlignment="1">
      <alignment horizontal="center" vertical="center" shrinkToFit="1"/>
    </xf>
    <xf numFmtId="0" fontId="0" fillId="0" borderId="104" xfId="0" applyBorder="1" applyAlignment="1">
      <alignment horizontal="center" vertical="center" shrinkToFit="1"/>
    </xf>
    <xf numFmtId="0" fontId="10" fillId="0" borderId="104" xfId="0" applyFont="1" applyBorder="1" applyAlignment="1">
      <alignment horizontal="center" vertical="center" shrinkToFit="1"/>
    </xf>
    <xf numFmtId="0" fontId="0" fillId="0" borderId="105" xfId="0" applyBorder="1" applyAlignment="1">
      <alignment horizontal="center" vertical="center" shrinkToFit="1"/>
    </xf>
    <xf numFmtId="0" fontId="3" fillId="0" borderId="106" xfId="0" applyFont="1" applyBorder="1" applyAlignment="1">
      <alignment horizontal="center" vertical="center" shrinkToFit="1"/>
    </xf>
    <xf numFmtId="177" fontId="3" fillId="0" borderId="107" xfId="0" applyNumberFormat="1" applyFont="1" applyBorder="1" applyAlignment="1">
      <alignment horizontal="center" vertical="center" shrinkToFit="1"/>
    </xf>
    <xf numFmtId="0" fontId="0" fillId="0" borderId="107" xfId="0" applyBorder="1" applyAlignment="1">
      <alignment horizontal="center" vertical="center" shrinkToFit="1"/>
    </xf>
    <xf numFmtId="179" fontId="3" fillId="0" borderId="107" xfId="0" applyNumberFormat="1" applyFont="1" applyBorder="1" applyAlignment="1">
      <alignment horizontal="center" vertical="center" shrinkToFit="1"/>
    </xf>
    <xf numFmtId="0" fontId="0" fillId="0" borderId="108" xfId="0" applyBorder="1" applyAlignment="1">
      <alignment horizontal="center" vertical="center" shrinkToFit="1"/>
    </xf>
    <xf numFmtId="0" fontId="11" fillId="6" borderId="109" xfId="0" applyFont="1" applyFill="1" applyBorder="1" applyAlignment="1">
      <alignment horizontal="center" vertical="center" shrinkToFit="1"/>
    </xf>
    <xf numFmtId="0" fontId="0" fillId="0" borderId="109" xfId="0" applyBorder="1" applyAlignment="1">
      <alignment horizontal="center" vertical="center" shrinkToFit="1"/>
    </xf>
    <xf numFmtId="0" fontId="10" fillId="0" borderId="109" xfId="0" applyFont="1" applyBorder="1" applyAlignment="1">
      <alignment horizontal="center" vertical="center" shrinkToFit="1"/>
    </xf>
    <xf numFmtId="0" fontId="0" fillId="0" borderId="110" xfId="0" applyBorder="1" applyAlignment="1">
      <alignment horizontal="center" vertical="center" shrinkToFit="1"/>
    </xf>
    <xf numFmtId="0" fontId="20" fillId="0" borderId="0" xfId="0" applyFont="1" applyAlignment="1">
      <alignment horizontal="left" vertical="center" shrinkToFit="1"/>
    </xf>
    <xf numFmtId="0" fontId="0" fillId="0" borderId="25" xfId="0" applyBorder="1">
      <alignment vertical="center"/>
    </xf>
    <xf numFmtId="0" fontId="0" fillId="0" borderId="27" xfId="0" applyBorder="1">
      <alignment vertical="center"/>
    </xf>
    <xf numFmtId="0" fontId="0" fillId="0" borderId="26" xfId="0" applyBorder="1">
      <alignment vertical="center"/>
    </xf>
    <xf numFmtId="0" fontId="0" fillId="0" borderId="111" xfId="0" applyBorder="1" applyAlignment="1">
      <alignment horizontal="center" vertical="center" shrinkToFit="1"/>
    </xf>
    <xf numFmtId="177" fontId="0" fillId="0" borderId="112" xfId="0" applyNumberFormat="1" applyBorder="1" applyAlignment="1">
      <alignment horizontal="center" vertical="center" shrinkToFit="1"/>
    </xf>
    <xf numFmtId="0" fontId="0" fillId="0" borderId="69" xfId="0" applyBorder="1" applyAlignment="1">
      <alignment horizontal="center" vertical="center" shrinkToFit="1"/>
    </xf>
    <xf numFmtId="177" fontId="0" fillId="0" borderId="95" xfId="0" applyNumberFormat="1" applyBorder="1" applyAlignment="1">
      <alignment horizontal="center" vertical="center" shrinkToFit="1"/>
    </xf>
    <xf numFmtId="0" fontId="0" fillId="0" borderId="113" xfId="0" applyBorder="1" applyAlignment="1">
      <alignment horizontal="center" vertical="center" shrinkToFit="1"/>
    </xf>
    <xf numFmtId="177" fontId="0" fillId="0" borderId="7" xfId="0" applyNumberForma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177" fontId="0" fillId="0" borderId="35" xfId="0" applyNumberFormat="1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177" fontId="0" fillId="0" borderId="32" xfId="0" applyNumberFormat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177" fontId="0" fillId="0" borderId="0" xfId="0" applyNumberForma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14" xfId="0" applyBorder="1" applyAlignment="1">
      <alignment horizontal="center" vertical="center" shrinkToFit="1"/>
    </xf>
    <xf numFmtId="177" fontId="0" fillId="0" borderId="91" xfId="0" applyNumberForma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2" fillId="0" borderId="0" xfId="0" applyFont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6" xfId="0" applyFont="1" applyBorder="1">
      <alignment vertical="center"/>
    </xf>
    <xf numFmtId="0" fontId="0" fillId="0" borderId="30" xfId="0" applyBorder="1">
      <alignment vertical="center"/>
    </xf>
    <xf numFmtId="177" fontId="0" fillId="0" borderId="30" xfId="0" applyNumberFormat="1" applyBorder="1" applyAlignment="1">
      <alignment horizontal="left" vertical="center"/>
    </xf>
    <xf numFmtId="177" fontId="0" fillId="0" borderId="30" xfId="0" applyNumberFormat="1" applyBorder="1">
      <alignment vertical="center"/>
    </xf>
    <xf numFmtId="0" fontId="0" fillId="0" borderId="70" xfId="0" applyBorder="1" applyAlignment="1">
      <alignment horizontal="center" vertical="center" shrinkToFit="1"/>
    </xf>
    <xf numFmtId="177" fontId="28" fillId="0" borderId="115" xfId="0" applyNumberFormat="1" applyFont="1" applyBorder="1" applyAlignment="1">
      <alignment horizontal="center" vertical="center" shrinkToFit="1"/>
    </xf>
    <xf numFmtId="0" fontId="29" fillId="0" borderId="115" xfId="0" applyFont="1" applyBorder="1" applyAlignment="1">
      <alignment horizontal="center" vertical="center" shrinkToFit="1"/>
    </xf>
    <xf numFmtId="0" fontId="30" fillId="0" borderId="114" xfId="0" applyFont="1" applyBorder="1" applyAlignment="1">
      <alignment horizontal="center" vertical="center" shrinkToFit="1"/>
    </xf>
    <xf numFmtId="177" fontId="28" fillId="0" borderId="116" xfId="0" applyNumberFormat="1" applyFont="1" applyBorder="1" applyAlignment="1">
      <alignment horizontal="center" vertical="center" shrinkToFit="1"/>
    </xf>
    <xf numFmtId="0" fontId="29" fillId="0" borderId="116" xfId="0" applyFont="1" applyBorder="1" applyAlignment="1">
      <alignment horizontal="center" vertical="center" shrinkToFit="1"/>
    </xf>
    <xf numFmtId="0" fontId="30" fillId="0" borderId="117" xfId="0" applyFont="1" applyBorder="1" applyAlignment="1">
      <alignment horizontal="center" vertical="center" shrinkToFit="1"/>
    </xf>
    <xf numFmtId="177" fontId="0" fillId="0" borderId="118" xfId="0" applyNumberFormat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 shrinkToFit="1"/>
    </xf>
    <xf numFmtId="0" fontId="0" fillId="0" borderId="67" xfId="0" applyBorder="1" applyAlignment="1">
      <alignment horizontal="center" vertical="center" shrinkToFit="1"/>
    </xf>
    <xf numFmtId="177" fontId="0" fillId="0" borderId="53" xfId="0" applyNumberFormat="1" applyBorder="1" applyAlignment="1">
      <alignment horizontal="center" vertical="center" shrinkToFit="1"/>
    </xf>
    <xf numFmtId="177" fontId="28" fillId="0" borderId="46" xfId="0" applyNumberFormat="1" applyFont="1" applyBorder="1" applyAlignment="1">
      <alignment horizontal="center" vertical="center" shrinkToFit="1"/>
    </xf>
    <xf numFmtId="0" fontId="29" fillId="0" borderId="46" xfId="0" applyFont="1" applyBorder="1" applyAlignment="1">
      <alignment horizontal="center" vertical="center" shrinkToFit="1"/>
    </xf>
    <xf numFmtId="0" fontId="41" fillId="0" borderId="36" xfId="0" applyFont="1" applyBorder="1" applyAlignment="1">
      <alignment horizontal="center" vertical="center" shrinkToFit="1"/>
    </xf>
    <xf numFmtId="0" fontId="41" fillId="0" borderId="69" xfId="0" applyFont="1" applyBorder="1" applyAlignment="1">
      <alignment horizontal="center" vertical="center" shrinkToFit="1"/>
    </xf>
    <xf numFmtId="0" fontId="41" fillId="0" borderId="85" xfId="0" applyFont="1" applyBorder="1" applyAlignment="1">
      <alignment horizontal="center" vertical="center" shrinkToFit="1"/>
    </xf>
    <xf numFmtId="178" fontId="29" fillId="0" borderId="26" xfId="0" applyNumberFormat="1" applyFont="1" applyBorder="1" applyAlignment="1">
      <alignment horizontal="center" vertical="center" shrinkToFit="1"/>
    </xf>
    <xf numFmtId="178" fontId="29" fillId="0" borderId="119" xfId="0" applyNumberFormat="1" applyFont="1" applyBorder="1" applyAlignment="1">
      <alignment horizontal="center" vertical="center" shrinkToFit="1"/>
    </xf>
    <xf numFmtId="177" fontId="28" fillId="0" borderId="7" xfId="0" applyNumberFormat="1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30" fillId="0" borderId="7" xfId="0" applyFont="1" applyBorder="1" applyAlignment="1">
      <alignment horizontal="center" vertical="center" shrinkToFit="1"/>
    </xf>
    <xf numFmtId="0" fontId="0" fillId="0" borderId="120" xfId="0" applyBorder="1" applyAlignment="1">
      <alignment horizontal="center" vertical="center" shrinkToFit="1"/>
    </xf>
    <xf numFmtId="0" fontId="0" fillId="0" borderId="121" xfId="0" applyBorder="1" applyAlignment="1">
      <alignment horizontal="center" vertical="center" shrinkToFit="1"/>
    </xf>
    <xf numFmtId="0" fontId="0" fillId="0" borderId="122" xfId="0" applyBorder="1" applyAlignment="1">
      <alignment horizontal="center" vertical="center" shrinkToFit="1"/>
    </xf>
    <xf numFmtId="0" fontId="0" fillId="0" borderId="41" xfId="4" applyFont="1" applyBorder="1" applyAlignment="1">
      <alignment horizontal="left" vertical="top"/>
    </xf>
    <xf numFmtId="0" fontId="0" fillId="0" borderId="123" xfId="0" applyBorder="1">
      <alignment vertical="center"/>
    </xf>
    <xf numFmtId="0" fontId="0" fillId="0" borderId="124" xfId="0" applyBorder="1" applyAlignment="1">
      <alignment horizontal="center" vertical="center"/>
    </xf>
    <xf numFmtId="0" fontId="0" fillId="0" borderId="125" xfId="0" applyBorder="1" applyAlignment="1">
      <alignment horizontal="center" vertical="center"/>
    </xf>
    <xf numFmtId="0" fontId="23" fillId="0" borderId="126" xfId="0" applyFont="1" applyBorder="1">
      <alignment vertical="center"/>
    </xf>
    <xf numFmtId="0" fontId="23" fillId="0" borderId="127" xfId="0" applyFont="1" applyBorder="1">
      <alignment vertical="center"/>
    </xf>
    <xf numFmtId="0" fontId="23" fillId="0" borderId="128" xfId="0" applyFont="1" applyBorder="1">
      <alignment vertical="center"/>
    </xf>
    <xf numFmtId="0" fontId="33" fillId="0" borderId="28" xfId="2" applyFont="1" applyBorder="1">
      <alignment vertical="center"/>
    </xf>
    <xf numFmtId="0" fontId="6" fillId="0" borderId="29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0" fillId="0" borderId="27" xfId="0" applyBorder="1" applyAlignment="1">
      <alignment vertical="center" shrinkToFit="1"/>
    </xf>
    <xf numFmtId="0" fontId="2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29" xfId="0" applyBorder="1" applyAlignment="1">
      <alignment vertical="top" wrapText="1"/>
    </xf>
    <xf numFmtId="0" fontId="0" fillId="0" borderId="130" xfId="0" applyBorder="1" applyAlignment="1">
      <alignment vertical="top" wrapText="1"/>
    </xf>
    <xf numFmtId="0" fontId="0" fillId="0" borderId="131" xfId="0" applyBorder="1" applyAlignment="1">
      <alignment vertical="top" wrapText="1"/>
    </xf>
    <xf numFmtId="0" fontId="0" fillId="0" borderId="132" xfId="0" applyBorder="1" applyAlignment="1">
      <alignment vertical="top" wrapText="1"/>
    </xf>
    <xf numFmtId="0" fontId="2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30" xfId="0" applyBorder="1" applyAlignment="1">
      <alignment horizontal="center" vertical="top" wrapText="1"/>
    </xf>
    <xf numFmtId="0" fontId="0" fillId="0" borderId="133" xfId="0" applyBorder="1" applyAlignment="1">
      <alignment horizontal="center" vertical="top" wrapText="1"/>
    </xf>
    <xf numFmtId="0" fontId="0" fillId="0" borderId="132" xfId="0" applyBorder="1" applyAlignment="1">
      <alignment horizontal="center" vertical="top" wrapText="1"/>
    </xf>
    <xf numFmtId="0" fontId="50" fillId="0" borderId="132" xfId="1" quotePrefix="1" applyNumberFormat="1" applyBorder="1" applyAlignment="1" applyProtection="1">
      <alignment horizontal="center" vertical="top" wrapText="1"/>
    </xf>
    <xf numFmtId="0" fontId="0" fillId="0" borderId="134" xfId="0" applyBorder="1" applyAlignment="1">
      <alignment horizontal="center" vertical="top" wrapText="1"/>
    </xf>
    <xf numFmtId="0" fontId="0" fillId="0" borderId="135" xfId="0" applyBorder="1" applyAlignment="1">
      <alignment vertical="top" wrapText="1"/>
    </xf>
    <xf numFmtId="0" fontId="50" fillId="0" borderId="0" xfId="1" quotePrefix="1" applyNumberFormat="1" applyAlignment="1" applyProtection="1">
      <alignment horizontal="center" vertical="top" wrapText="1"/>
    </xf>
    <xf numFmtId="0" fontId="0" fillId="0" borderId="136" xfId="0" applyBorder="1" applyAlignment="1">
      <alignment horizontal="center" vertical="top" wrapText="1"/>
    </xf>
    <xf numFmtId="0" fontId="0" fillId="0" borderId="137" xfId="0" applyBorder="1" applyAlignment="1">
      <alignment horizontal="center" vertical="center" shrinkToFit="1"/>
    </xf>
    <xf numFmtId="177" fontId="28" fillId="0" borderId="36" xfId="0" applyNumberFormat="1" applyFont="1" applyBorder="1" applyAlignment="1">
      <alignment horizontal="center" vertical="center" shrinkToFit="1"/>
    </xf>
    <xf numFmtId="0" fontId="41" fillId="0" borderId="68" xfId="0" applyFont="1" applyBorder="1" applyAlignment="1">
      <alignment horizontal="center" vertical="center" shrinkToFit="1"/>
    </xf>
    <xf numFmtId="177" fontId="0" fillId="0" borderId="138" xfId="0" applyNumberFormat="1" applyBorder="1" applyAlignment="1">
      <alignment horizontal="center" vertical="center" shrinkToFit="1"/>
    </xf>
    <xf numFmtId="177" fontId="28" fillId="0" borderId="30" xfId="0" applyNumberFormat="1" applyFont="1" applyBorder="1" applyAlignment="1">
      <alignment horizontal="center" vertical="center" shrinkToFit="1"/>
    </xf>
    <xf numFmtId="0" fontId="29" fillId="0" borderId="30" xfId="0" applyFont="1" applyBorder="1" applyAlignment="1">
      <alignment horizontal="center" vertical="center" shrinkToFit="1"/>
    </xf>
    <xf numFmtId="0" fontId="30" fillId="0" borderId="85" xfId="0" applyFont="1" applyBorder="1" applyAlignment="1">
      <alignment horizontal="center" vertical="center" shrinkToFit="1"/>
    </xf>
    <xf numFmtId="0" fontId="0" fillId="0" borderId="137" xfId="0" applyBorder="1">
      <alignment vertical="center"/>
    </xf>
    <xf numFmtId="0" fontId="0" fillId="0" borderId="67" xfId="0" applyBorder="1">
      <alignment vertical="center"/>
    </xf>
    <xf numFmtId="0" fontId="0" fillId="0" borderId="139" xfId="0" applyBorder="1">
      <alignment vertical="center"/>
    </xf>
    <xf numFmtId="177" fontId="3" fillId="5" borderId="25" xfId="0" applyNumberFormat="1" applyFont="1" applyFill="1" applyBorder="1" applyAlignment="1">
      <alignment horizontal="center" vertical="center" shrinkToFit="1"/>
    </xf>
    <xf numFmtId="0" fontId="47" fillId="0" borderId="27" xfId="0" applyFont="1" applyBorder="1">
      <alignment vertical="center"/>
    </xf>
    <xf numFmtId="0" fontId="3" fillId="7" borderId="27" xfId="0" applyFont="1" applyFill="1" applyBorder="1" applyAlignment="1">
      <alignment horizontal="center" vertical="center"/>
    </xf>
    <xf numFmtId="0" fontId="3" fillId="7" borderId="46" xfId="0" applyFont="1" applyFill="1" applyBorder="1" applyAlignment="1">
      <alignment horizontal="center" vertical="center"/>
    </xf>
    <xf numFmtId="177" fontId="3" fillId="5" borderId="46" xfId="0" applyNumberFormat="1" applyFont="1" applyFill="1" applyBorder="1" applyAlignment="1">
      <alignment horizontal="center" vertical="center"/>
    </xf>
    <xf numFmtId="177" fontId="3" fillId="5" borderId="27" xfId="0" applyNumberFormat="1" applyFont="1" applyFill="1" applyBorder="1" applyAlignment="1">
      <alignment horizontal="center" vertical="center"/>
    </xf>
    <xf numFmtId="177" fontId="3" fillId="5" borderId="27" xfId="0" applyNumberFormat="1" applyFont="1" applyFill="1" applyBorder="1" applyAlignment="1">
      <alignment horizontal="center" vertical="center" shrinkToFit="1"/>
    </xf>
    <xf numFmtId="0" fontId="3" fillId="5" borderId="85" xfId="0" applyFont="1" applyFill="1" applyBorder="1" applyAlignment="1">
      <alignment horizontal="center" vertical="center" shrinkToFit="1"/>
    </xf>
    <xf numFmtId="0" fontId="3" fillId="5" borderId="28" xfId="0" applyFont="1" applyFill="1" applyBorder="1" applyAlignment="1">
      <alignment horizontal="center" vertical="center" shrinkToFit="1"/>
    </xf>
    <xf numFmtId="0" fontId="17" fillId="0" borderId="113" xfId="0" applyFont="1" applyBorder="1" applyAlignment="1">
      <alignment horizontal="center" vertical="center" shrinkToFit="1"/>
    </xf>
    <xf numFmtId="0" fontId="24" fillId="0" borderId="47" xfId="5" applyFont="1" applyBorder="1" applyAlignment="1" applyProtection="1">
      <alignment horizontal="center" vertical="center" wrapText="1"/>
      <protection locked="0"/>
    </xf>
    <xf numFmtId="0" fontId="17" fillId="0" borderId="23" xfId="0" applyFont="1" applyBorder="1" applyAlignment="1">
      <alignment horizontal="center" vertical="center" shrinkToFit="1"/>
    </xf>
    <xf numFmtId="0" fontId="17" fillId="0" borderId="14" xfId="0" applyFont="1" applyBorder="1" applyAlignment="1">
      <alignment horizontal="center" vertical="center" shrinkToFit="1"/>
    </xf>
    <xf numFmtId="0" fontId="17" fillId="0" borderId="140" xfId="0" applyFont="1" applyBorder="1" applyAlignment="1">
      <alignment horizontal="center" vertical="center" shrinkToFit="1"/>
    </xf>
    <xf numFmtId="0" fontId="17" fillId="0" borderId="141" xfId="0" applyFont="1" applyBorder="1" applyAlignment="1">
      <alignment horizontal="center" vertical="center" shrinkToFit="1"/>
    </xf>
    <xf numFmtId="0" fontId="17" fillId="0" borderId="142" xfId="0" applyFont="1" applyBorder="1" applyAlignment="1">
      <alignment horizontal="center" vertical="center" shrinkToFit="1"/>
    </xf>
    <xf numFmtId="0" fontId="17" fillId="0" borderId="143" xfId="0" applyFont="1" applyBorder="1" applyAlignment="1">
      <alignment horizontal="center" vertical="center" shrinkToFit="1"/>
    </xf>
    <xf numFmtId="0" fontId="17" fillId="0" borderId="144" xfId="0" applyFont="1" applyBorder="1" applyAlignment="1">
      <alignment horizontal="center" vertical="center" shrinkToFit="1"/>
    </xf>
    <xf numFmtId="56" fontId="25" fillId="0" borderId="39" xfId="3" applyNumberFormat="1" applyFont="1" applyBorder="1" applyAlignment="1">
      <alignment horizontal="center" vertical="center" shrinkToFit="1"/>
    </xf>
    <xf numFmtId="20" fontId="25" fillId="0" borderId="40" xfId="3" applyNumberFormat="1" applyFont="1" applyBorder="1" applyAlignment="1">
      <alignment horizontal="center" vertical="center" shrinkToFit="1"/>
    </xf>
    <xf numFmtId="176" fontId="25" fillId="0" borderId="40" xfId="3" applyNumberFormat="1" applyFont="1" applyBorder="1" applyAlignment="1">
      <alignment horizontal="center" vertical="center" shrinkToFit="1"/>
    </xf>
    <xf numFmtId="0" fontId="17" fillId="2" borderId="145" xfId="3" applyFont="1" applyFill="1" applyBorder="1" applyAlignment="1">
      <alignment horizontal="center" vertical="center" shrinkToFit="1"/>
    </xf>
    <xf numFmtId="0" fontId="3" fillId="5" borderId="22" xfId="0" applyFont="1" applyFill="1" applyBorder="1" applyAlignment="1">
      <alignment vertical="center" shrinkToFit="1"/>
    </xf>
    <xf numFmtId="0" fontId="3" fillId="5" borderId="146" xfId="0" applyFont="1" applyFill="1" applyBorder="1" applyAlignment="1">
      <alignment vertical="center" shrinkToFit="1"/>
    </xf>
    <xf numFmtId="0" fontId="3" fillId="5" borderId="85" xfId="0" applyFont="1" applyFill="1" applyBorder="1" applyAlignment="1">
      <alignment vertical="center" shrinkToFit="1"/>
    </xf>
    <xf numFmtId="0" fontId="3" fillId="5" borderId="28" xfId="0" applyFont="1" applyFill="1" applyBorder="1" applyAlignment="1">
      <alignment vertical="center" shrinkToFit="1"/>
    </xf>
    <xf numFmtId="177" fontId="3" fillId="9" borderId="27" xfId="0" applyNumberFormat="1" applyFont="1" applyFill="1" applyBorder="1" applyAlignment="1">
      <alignment horizontal="center" vertical="center"/>
    </xf>
    <xf numFmtId="177" fontId="3" fillId="9" borderId="27" xfId="0" applyNumberFormat="1" applyFont="1" applyFill="1" applyBorder="1" applyAlignment="1">
      <alignment horizontal="center" vertical="center" shrinkToFit="1"/>
    </xf>
    <xf numFmtId="0" fontId="0" fillId="0" borderId="201" xfId="0" applyBorder="1" applyAlignment="1">
      <alignment vertical="center" shrinkToFit="1"/>
    </xf>
    <xf numFmtId="0" fontId="0" fillId="0" borderId="202" xfId="0" applyBorder="1" applyAlignment="1">
      <alignment vertical="center" shrinkToFit="1"/>
    </xf>
    <xf numFmtId="0" fontId="0" fillId="0" borderId="203" xfId="0" applyBorder="1" applyAlignment="1">
      <alignment vertical="center" shrinkToFit="1"/>
    </xf>
    <xf numFmtId="0" fontId="0" fillId="0" borderId="204" xfId="0" applyBorder="1" applyAlignment="1">
      <alignment vertical="center" shrinkToFit="1"/>
    </xf>
    <xf numFmtId="0" fontId="0" fillId="0" borderId="205" xfId="0" applyBorder="1" applyAlignment="1">
      <alignment vertical="center" shrinkToFit="1"/>
    </xf>
    <xf numFmtId="0" fontId="0" fillId="0" borderId="206" xfId="0" applyBorder="1" applyAlignment="1">
      <alignment vertical="center" shrinkToFit="1"/>
    </xf>
    <xf numFmtId="0" fontId="0" fillId="0" borderId="30" xfId="0" applyBorder="1" applyAlignment="1">
      <alignment horizontal="center" vertical="center"/>
    </xf>
    <xf numFmtId="0" fontId="43" fillId="0" borderId="199" xfId="0" applyFont="1" applyBorder="1" applyAlignment="1">
      <alignment horizontal="center" vertical="center" shrinkToFit="1"/>
    </xf>
    <xf numFmtId="0" fontId="43" fillId="0" borderId="200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79" fontId="11" fillId="6" borderId="30" xfId="0" applyNumberFormat="1" applyFont="1" applyFill="1" applyBorder="1" applyAlignment="1">
      <alignment horizontal="center" vertical="center" shrinkToFit="1"/>
    </xf>
    <xf numFmtId="0" fontId="0" fillId="0" borderId="85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177" fontId="3" fillId="5" borderId="85" xfId="0" applyNumberFormat="1" applyFont="1" applyFill="1" applyBorder="1" applyAlignment="1">
      <alignment horizontal="center" vertical="center"/>
    </xf>
    <xf numFmtId="177" fontId="3" fillId="5" borderId="28" xfId="0" applyNumberFormat="1" applyFont="1" applyFill="1" applyBorder="1" applyAlignment="1">
      <alignment horizontal="center" vertical="center"/>
    </xf>
    <xf numFmtId="0" fontId="43" fillId="0" borderId="198" xfId="0" applyFont="1" applyBorder="1" applyAlignment="1">
      <alignment horizontal="center" vertical="center" shrinkToFit="1"/>
    </xf>
    <xf numFmtId="0" fontId="3" fillId="5" borderId="85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3" fillId="5" borderId="85" xfId="0" applyFont="1" applyFill="1" applyBorder="1" applyAlignment="1">
      <alignment horizontal="center" vertical="center" shrinkToFit="1"/>
    </xf>
    <xf numFmtId="0" fontId="3" fillId="5" borderId="28" xfId="0" applyFont="1" applyFill="1" applyBorder="1" applyAlignment="1">
      <alignment horizontal="center" vertical="center" shrinkToFit="1"/>
    </xf>
    <xf numFmtId="0" fontId="11" fillId="5" borderId="5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42" fillId="0" borderId="0" xfId="0" applyFont="1" applyAlignment="1">
      <alignment horizontal="right" vertical="center" textRotation="255"/>
    </xf>
    <xf numFmtId="0" fontId="42" fillId="0" borderId="14" xfId="0" applyFont="1" applyBorder="1" applyAlignment="1">
      <alignment horizontal="right" vertical="center" textRotation="255"/>
    </xf>
    <xf numFmtId="0" fontId="43" fillId="0" borderId="85" xfId="0" applyFont="1" applyBorder="1" applyAlignment="1">
      <alignment horizontal="center" vertical="center" shrinkToFit="1"/>
    </xf>
    <xf numFmtId="0" fontId="43" fillId="0" borderId="48" xfId="0" applyFont="1" applyBorder="1" applyAlignment="1">
      <alignment horizontal="center" vertical="center" shrinkToFit="1"/>
    </xf>
    <xf numFmtId="0" fontId="43" fillId="0" borderId="208" xfId="0" applyFont="1" applyBorder="1" applyAlignment="1">
      <alignment horizontal="center" vertical="center" shrinkToFit="1"/>
    </xf>
    <xf numFmtId="0" fontId="0" fillId="8" borderId="18" xfId="0" applyFill="1" applyBorder="1" applyAlignment="1">
      <alignment horizontal="center" vertical="center" shrinkToFit="1"/>
    </xf>
    <xf numFmtId="0" fontId="0" fillId="8" borderId="19" xfId="0" applyFill="1" applyBorder="1" applyAlignment="1">
      <alignment horizontal="center" vertical="center" shrinkToFit="1"/>
    </xf>
    <xf numFmtId="0" fontId="0" fillId="8" borderId="209" xfId="0" applyFill="1" applyBorder="1" applyAlignment="1">
      <alignment horizontal="center" vertical="center" shrinkToFit="1"/>
    </xf>
    <xf numFmtId="0" fontId="0" fillId="8" borderId="210" xfId="0" applyFill="1" applyBorder="1" applyAlignment="1">
      <alignment horizontal="center" vertical="center" shrinkToFit="1"/>
    </xf>
    <xf numFmtId="0" fontId="0" fillId="8" borderId="163" xfId="0" applyFill="1" applyBorder="1" applyAlignment="1">
      <alignment horizontal="center" vertical="center" shrinkToFit="1"/>
    </xf>
    <xf numFmtId="0" fontId="0" fillId="8" borderId="211" xfId="0" applyFill="1" applyBorder="1" applyAlignment="1">
      <alignment horizontal="center" vertical="center" shrinkToFit="1"/>
    </xf>
    <xf numFmtId="0" fontId="43" fillId="0" borderId="212" xfId="0" applyFont="1" applyBorder="1" applyAlignment="1">
      <alignment horizontal="center" vertical="center" shrinkToFit="1"/>
    </xf>
    <xf numFmtId="0" fontId="43" fillId="0" borderId="213" xfId="0" applyFont="1" applyBorder="1" applyAlignment="1">
      <alignment horizontal="center" vertical="center" shrinkToFit="1"/>
    </xf>
    <xf numFmtId="0" fontId="43" fillId="0" borderId="214" xfId="0" applyFont="1" applyBorder="1" applyAlignment="1">
      <alignment horizontal="center" vertical="center" shrinkToFit="1"/>
    </xf>
    <xf numFmtId="0" fontId="0" fillId="0" borderId="196" xfId="0" applyBorder="1" applyAlignment="1">
      <alignment vertical="center" shrinkToFit="1"/>
    </xf>
    <xf numFmtId="0" fontId="0" fillId="0" borderId="197" xfId="0" applyBorder="1" applyAlignment="1">
      <alignment vertical="center" shrinkToFit="1"/>
    </xf>
    <xf numFmtId="0" fontId="0" fillId="0" borderId="192" xfId="0" applyBorder="1" applyAlignment="1">
      <alignment vertical="center" shrinkToFit="1"/>
    </xf>
    <xf numFmtId="0" fontId="0" fillId="0" borderId="193" xfId="0" applyBorder="1" applyAlignment="1">
      <alignment vertical="center" shrinkToFit="1"/>
    </xf>
    <xf numFmtId="0" fontId="0" fillId="0" borderId="194" xfId="0" applyBorder="1" applyAlignment="1">
      <alignment vertical="center" shrinkToFit="1"/>
    </xf>
    <xf numFmtId="0" fontId="0" fillId="0" borderId="195" xfId="0" applyBorder="1" applyAlignment="1">
      <alignment vertical="center" shrinkToFit="1"/>
    </xf>
    <xf numFmtId="0" fontId="43" fillId="0" borderId="207" xfId="0" applyFont="1" applyBorder="1" applyAlignment="1">
      <alignment horizontal="center" vertical="center" shrinkToFit="1"/>
    </xf>
    <xf numFmtId="0" fontId="42" fillId="0" borderId="63" xfId="0" applyFont="1" applyBorder="1" applyAlignment="1">
      <alignment horizontal="right" vertical="center" textRotation="255"/>
    </xf>
    <xf numFmtId="0" fontId="11" fillId="6" borderId="175" xfId="0" applyFont="1" applyFill="1" applyBorder="1" applyAlignment="1">
      <alignment horizontal="center" vertical="center" shrinkToFit="1"/>
    </xf>
    <xf numFmtId="0" fontId="11" fillId="6" borderId="176" xfId="0" applyFont="1" applyFill="1" applyBorder="1" applyAlignment="1">
      <alignment horizontal="center" vertical="center" shrinkToFit="1"/>
    </xf>
    <xf numFmtId="0" fontId="11" fillId="6" borderId="177" xfId="0" applyFont="1" applyFill="1" applyBorder="1" applyAlignment="1">
      <alignment horizontal="center" vertical="center" shrinkToFit="1"/>
    </xf>
    <xf numFmtId="0" fontId="42" fillId="0" borderId="186" xfId="0" applyFont="1" applyBorder="1" applyAlignment="1">
      <alignment horizontal="right" vertical="center" textRotation="255"/>
    </xf>
    <xf numFmtId="0" fontId="42" fillId="0" borderId="188" xfId="0" applyFont="1" applyBorder="1" applyAlignment="1">
      <alignment horizontal="right" vertical="center" textRotation="255"/>
    </xf>
    <xf numFmtId="0" fontId="11" fillId="6" borderId="189" xfId="0" applyFont="1" applyFill="1" applyBorder="1" applyAlignment="1">
      <alignment horizontal="center" vertical="center" shrinkToFit="1"/>
    </xf>
    <xf numFmtId="0" fontId="11" fillId="6" borderId="190" xfId="0" applyFont="1" applyFill="1" applyBorder="1" applyAlignment="1">
      <alignment horizontal="center" vertical="center" shrinkToFit="1"/>
    </xf>
    <xf numFmtId="0" fontId="11" fillId="6" borderId="191" xfId="0" applyFont="1" applyFill="1" applyBorder="1" applyAlignment="1">
      <alignment horizontal="center" vertical="center" shrinkToFit="1"/>
    </xf>
    <xf numFmtId="0" fontId="42" fillId="0" borderId="187" xfId="0" applyFont="1" applyBorder="1" applyAlignment="1">
      <alignment horizontal="right" vertical="center" textRotation="255"/>
    </xf>
    <xf numFmtId="0" fontId="3" fillId="0" borderId="171" xfId="0" applyFont="1" applyBorder="1" applyAlignment="1">
      <alignment horizontal="center" vertical="center" shrinkToFit="1"/>
    </xf>
    <xf numFmtId="0" fontId="3" fillId="0" borderId="172" xfId="0" applyFont="1" applyBorder="1" applyAlignment="1">
      <alignment horizontal="center" vertical="center" shrinkToFit="1"/>
    </xf>
    <xf numFmtId="0" fontId="3" fillId="0" borderId="173" xfId="0" applyFont="1" applyBorder="1" applyAlignment="1">
      <alignment horizontal="center" vertical="center" shrinkToFit="1"/>
    </xf>
    <xf numFmtId="0" fontId="3" fillId="0" borderId="174" xfId="0" applyFont="1" applyBorder="1" applyAlignment="1">
      <alignment horizontal="center" vertical="center" shrinkToFit="1"/>
    </xf>
    <xf numFmtId="0" fontId="16" fillId="6" borderId="178" xfId="0" applyFont="1" applyFill="1" applyBorder="1" applyAlignment="1">
      <alignment horizontal="center" vertical="center" shrinkToFit="1"/>
    </xf>
    <xf numFmtId="0" fontId="16" fillId="6" borderId="179" xfId="0" applyFont="1" applyFill="1" applyBorder="1" applyAlignment="1">
      <alignment horizontal="center" vertical="center" shrinkToFit="1"/>
    </xf>
    <xf numFmtId="0" fontId="16" fillId="6" borderId="180" xfId="0" applyFont="1" applyFill="1" applyBorder="1" applyAlignment="1">
      <alignment horizontal="center" vertical="center" shrinkToFit="1"/>
    </xf>
    <xf numFmtId="0" fontId="0" fillId="0" borderId="181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1" fillId="6" borderId="158" xfId="0" applyFont="1" applyFill="1" applyBorder="1" applyAlignment="1">
      <alignment horizontal="center" vertical="center" shrinkToFit="1"/>
    </xf>
    <xf numFmtId="0" fontId="11" fillId="6" borderId="160" xfId="0" applyFont="1" applyFill="1" applyBorder="1" applyAlignment="1">
      <alignment horizontal="center" vertical="center" shrinkToFit="1"/>
    </xf>
    <xf numFmtId="0" fontId="3" fillId="0" borderId="170" xfId="0" applyFont="1" applyBorder="1" applyAlignment="1">
      <alignment horizontal="center" vertical="center" shrinkToFit="1"/>
    </xf>
    <xf numFmtId="0" fontId="3" fillId="0" borderId="182" xfId="0" applyFont="1" applyBorder="1" applyAlignment="1">
      <alignment horizontal="center" vertical="center" shrinkToFit="1"/>
    </xf>
    <xf numFmtId="0" fontId="16" fillId="6" borderId="183" xfId="0" applyFont="1" applyFill="1" applyBorder="1" applyAlignment="1">
      <alignment horizontal="center" vertical="center" shrinkToFit="1"/>
    </xf>
    <xf numFmtId="0" fontId="16" fillId="6" borderId="184" xfId="0" applyFont="1" applyFill="1" applyBorder="1" applyAlignment="1">
      <alignment horizontal="center" vertical="center" shrinkToFit="1"/>
    </xf>
    <xf numFmtId="0" fontId="16" fillId="6" borderId="185" xfId="0" applyFont="1" applyFill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/>
    </xf>
    <xf numFmtId="0" fontId="0" fillId="0" borderId="170" xfId="0" applyBorder="1" applyAlignment="1">
      <alignment horizontal="center" vertical="center"/>
    </xf>
    <xf numFmtId="0" fontId="0" fillId="0" borderId="146" xfId="0" applyBorder="1" applyAlignment="1">
      <alignment horizontal="center" vertical="center"/>
    </xf>
    <xf numFmtId="0" fontId="46" fillId="6" borderId="155" xfId="0" applyFont="1" applyFill="1" applyBorder="1" applyAlignment="1">
      <alignment horizontal="center" vertical="center" shrinkToFit="1"/>
    </xf>
    <xf numFmtId="0" fontId="46" fillId="6" borderId="157" xfId="0" applyFont="1" applyFill="1" applyBorder="1" applyAlignment="1">
      <alignment horizontal="center" vertical="center" shrinkToFit="1"/>
    </xf>
    <xf numFmtId="0" fontId="46" fillId="6" borderId="156" xfId="0" applyFont="1" applyFill="1" applyBorder="1" applyAlignment="1">
      <alignment horizontal="center" vertical="center" shrinkToFit="1"/>
    </xf>
    <xf numFmtId="0" fontId="0" fillId="0" borderId="49" xfId="0" applyBorder="1" applyAlignment="1">
      <alignment horizontal="center" vertical="center"/>
    </xf>
    <xf numFmtId="0" fontId="0" fillId="0" borderId="165" xfId="0" applyBorder="1" applyAlignment="1">
      <alignment horizontal="center" vertical="center"/>
    </xf>
    <xf numFmtId="0" fontId="11" fillId="7" borderId="166" xfId="0" applyFont="1" applyFill="1" applyBorder="1" applyAlignment="1">
      <alignment horizontal="center" vertical="center"/>
    </xf>
    <xf numFmtId="0" fontId="11" fillId="7" borderId="167" xfId="0" applyFont="1" applyFill="1" applyBorder="1" applyAlignment="1">
      <alignment horizontal="center" vertical="center"/>
    </xf>
    <xf numFmtId="0" fontId="11" fillId="7" borderId="147" xfId="0" applyFont="1" applyFill="1" applyBorder="1" applyAlignment="1">
      <alignment horizontal="center" vertical="center"/>
    </xf>
    <xf numFmtId="0" fontId="11" fillId="0" borderId="161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162" xfId="0" applyFont="1" applyBorder="1" applyAlignment="1">
      <alignment horizontal="center" vertical="center"/>
    </xf>
    <xf numFmtId="0" fontId="11" fillId="6" borderId="168" xfId="0" applyFont="1" applyFill="1" applyBorder="1" applyAlignment="1">
      <alignment horizontal="center" vertical="center" shrinkToFit="1"/>
    </xf>
    <xf numFmtId="0" fontId="11" fillId="6" borderId="169" xfId="0" applyFont="1" applyFill="1" applyBorder="1" applyAlignment="1">
      <alignment horizontal="center" vertical="center" shrinkToFit="1"/>
    </xf>
    <xf numFmtId="0" fontId="3" fillId="5" borderId="154" xfId="0" applyFont="1" applyFill="1" applyBorder="1" applyAlignment="1">
      <alignment horizontal="center" vertical="center"/>
    </xf>
    <xf numFmtId="0" fontId="3" fillId="5" borderId="147" xfId="0" applyFont="1" applyFill="1" applyBorder="1" applyAlignment="1">
      <alignment horizontal="center" vertical="center"/>
    </xf>
    <xf numFmtId="0" fontId="46" fillId="6" borderId="155" xfId="0" applyFont="1" applyFill="1" applyBorder="1" applyAlignment="1">
      <alignment horizontal="center" vertical="center" wrapText="1" shrinkToFit="1"/>
    </xf>
    <xf numFmtId="0" fontId="3" fillId="5" borderId="5" xfId="0" applyFont="1" applyFill="1" applyBorder="1" applyAlignment="1">
      <alignment horizontal="center" vertical="center" shrinkToFit="1"/>
    </xf>
    <xf numFmtId="0" fontId="3" fillId="5" borderId="6" xfId="0" applyFont="1" applyFill="1" applyBorder="1" applyAlignment="1">
      <alignment horizontal="center" vertical="center" shrinkToFit="1"/>
    </xf>
    <xf numFmtId="177" fontId="3" fillId="5" borderId="5" xfId="0" applyNumberFormat="1" applyFont="1" applyFill="1" applyBorder="1" applyAlignment="1">
      <alignment horizontal="center" vertical="center"/>
    </xf>
    <xf numFmtId="177" fontId="3" fillId="5" borderId="6" xfId="0" applyNumberFormat="1" applyFont="1" applyFill="1" applyBorder="1" applyAlignment="1">
      <alignment horizontal="center" vertical="center"/>
    </xf>
    <xf numFmtId="179" fontId="11" fillId="6" borderId="49" xfId="0" applyNumberFormat="1" applyFont="1" applyFill="1" applyBorder="1" applyAlignment="1">
      <alignment horizontal="center" vertical="center" shrinkToFit="1"/>
    </xf>
    <xf numFmtId="0" fontId="34" fillId="6" borderId="155" xfId="0" applyFont="1" applyFill="1" applyBorder="1" applyAlignment="1">
      <alignment horizontal="center" vertical="center"/>
    </xf>
    <xf numFmtId="0" fontId="34" fillId="6" borderId="156" xfId="0" applyFont="1" applyFill="1" applyBorder="1" applyAlignment="1">
      <alignment horizontal="center" vertical="center"/>
    </xf>
    <xf numFmtId="0" fontId="11" fillId="6" borderId="159" xfId="0" applyFont="1" applyFill="1" applyBorder="1" applyAlignment="1">
      <alignment horizontal="center" vertical="center" shrinkToFit="1"/>
    </xf>
    <xf numFmtId="0" fontId="46" fillId="6" borderId="157" xfId="0" applyFont="1" applyFill="1" applyBorder="1" applyAlignment="1">
      <alignment horizontal="center" vertical="center" wrapText="1" shrinkToFit="1"/>
    </xf>
    <xf numFmtId="0" fontId="46" fillId="6" borderId="156" xfId="0" applyFont="1" applyFill="1" applyBorder="1" applyAlignment="1">
      <alignment horizontal="center" vertical="center" wrapText="1" shrinkToFit="1"/>
    </xf>
    <xf numFmtId="0" fontId="11" fillId="0" borderId="163" xfId="0" applyFont="1" applyBorder="1" applyAlignment="1">
      <alignment horizontal="center" vertical="center"/>
    </xf>
    <xf numFmtId="0" fontId="11" fillId="0" borderId="164" xfId="0" applyFont="1" applyBorder="1" applyAlignment="1">
      <alignment horizontal="center" vertical="center"/>
    </xf>
    <xf numFmtId="0" fontId="0" fillId="0" borderId="88" xfId="0" applyBorder="1" applyAlignment="1">
      <alignment horizontal="left" vertical="center" shrinkToFit="1"/>
    </xf>
    <xf numFmtId="0" fontId="0" fillId="0" borderId="65" xfId="0" applyBorder="1" applyAlignment="1">
      <alignment horizontal="left" vertical="center" shrinkToFit="1"/>
    </xf>
    <xf numFmtId="0" fontId="23" fillId="0" borderId="148" xfId="0" applyFont="1" applyBorder="1" applyAlignment="1">
      <alignment horizontal="center" vertical="center" wrapText="1"/>
    </xf>
    <xf numFmtId="0" fontId="23" fillId="0" borderId="149" xfId="0" applyFont="1" applyBorder="1" applyAlignment="1">
      <alignment horizontal="center" vertical="center" wrapText="1"/>
    </xf>
    <xf numFmtId="0" fontId="23" fillId="0" borderId="150" xfId="0" applyFont="1" applyBorder="1" applyAlignment="1">
      <alignment horizontal="center" vertical="center" wrapText="1"/>
    </xf>
    <xf numFmtId="0" fontId="23" fillId="0" borderId="151" xfId="0" applyFont="1" applyBorder="1" applyAlignment="1">
      <alignment horizontal="center" vertical="center" wrapText="1"/>
    </xf>
    <xf numFmtId="0" fontId="23" fillId="0" borderId="152" xfId="0" applyFont="1" applyBorder="1" applyAlignment="1">
      <alignment horizontal="center" vertical="center" wrapText="1"/>
    </xf>
    <xf numFmtId="0" fontId="23" fillId="0" borderId="153" xfId="0" applyFont="1" applyBorder="1" applyAlignment="1">
      <alignment horizontal="center" vertical="center" wrapText="1"/>
    </xf>
    <xf numFmtId="0" fontId="1" fillId="0" borderId="87" xfId="0" applyFont="1" applyBorder="1" applyAlignment="1">
      <alignment horizontal="center" vertical="center" shrinkToFit="1"/>
    </xf>
    <xf numFmtId="0" fontId="1" fillId="0" borderId="86" xfId="0" applyFont="1" applyBorder="1" applyAlignment="1">
      <alignment horizontal="center" vertical="center" shrinkToFit="1"/>
    </xf>
    <xf numFmtId="0" fontId="1" fillId="0" borderId="60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48" fillId="0" borderId="245" xfId="0" applyFont="1" applyBorder="1" applyAlignment="1">
      <alignment horizontal="center" vertical="center" wrapText="1"/>
    </xf>
    <xf numFmtId="0" fontId="48" fillId="0" borderId="244" xfId="0" applyFont="1" applyBorder="1" applyAlignment="1">
      <alignment horizontal="center" vertical="center" wrapText="1"/>
    </xf>
    <xf numFmtId="0" fontId="48" fillId="0" borderId="24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shrinkToFit="1"/>
    </xf>
    <xf numFmtId="0" fontId="9" fillId="0" borderId="242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1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177" fontId="9" fillId="0" borderId="0" xfId="0" applyNumberFormat="1" applyFont="1" applyAlignment="1">
      <alignment horizontal="left" vertical="center" shrinkToFit="1"/>
    </xf>
    <xf numFmtId="177" fontId="9" fillId="0" borderId="2" xfId="0" applyNumberFormat="1" applyFont="1" applyBorder="1" applyAlignment="1">
      <alignment horizontal="left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48" fillId="0" borderId="247" xfId="0" applyFont="1" applyBorder="1" applyAlignment="1">
      <alignment horizontal="center" vertical="center" wrapText="1"/>
    </xf>
    <xf numFmtId="177" fontId="9" fillId="0" borderId="0" xfId="0" applyNumberFormat="1" applyFont="1" applyAlignment="1">
      <alignment horizontal="center" vertical="center" shrinkToFit="1"/>
    </xf>
    <xf numFmtId="177" fontId="9" fillId="0" borderId="2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14" xfId="0" applyFont="1" applyBorder="1" applyAlignment="1" applyProtection="1">
      <alignment horizontal="left" vertical="center" shrinkToFit="1"/>
      <protection locked="0"/>
    </xf>
    <xf numFmtId="0" fontId="9" fillId="0" borderId="19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239" xfId="0" applyFont="1" applyBorder="1" applyAlignment="1">
      <alignment horizontal="center" vertical="center" shrinkToFit="1"/>
    </xf>
    <xf numFmtId="0" fontId="48" fillId="0" borderId="243" xfId="0" applyFont="1" applyBorder="1" applyAlignment="1">
      <alignment horizontal="center" vertical="center" wrapText="1"/>
    </xf>
    <xf numFmtId="0" fontId="3" fillId="0" borderId="23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9" fillId="0" borderId="241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32" fillId="0" borderId="46" xfId="0" applyFont="1" applyBorder="1" applyAlignment="1">
      <alignment horizontal="center" vertical="center" shrinkToFit="1"/>
    </xf>
    <xf numFmtId="0" fontId="32" fillId="0" borderId="47" xfId="0" applyFont="1" applyBorder="1" applyAlignment="1">
      <alignment horizontal="center" vertical="center" shrinkToFit="1"/>
    </xf>
    <xf numFmtId="0" fontId="32" fillId="0" borderId="49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0" xfId="0" applyFont="1" applyBorder="1" applyAlignment="1">
      <alignment horizontal="center" vertical="center" shrinkToFit="1"/>
    </xf>
    <xf numFmtId="0" fontId="9" fillId="0" borderId="233" xfId="0" applyFont="1" applyBorder="1" applyAlignment="1">
      <alignment horizontal="center" vertical="center" shrinkToFit="1"/>
    </xf>
    <xf numFmtId="0" fontId="9" fillId="0" borderId="234" xfId="0" applyFont="1" applyBorder="1" applyAlignment="1">
      <alignment horizontal="center" vertical="center" shrinkToFit="1"/>
    </xf>
    <xf numFmtId="177" fontId="9" fillId="0" borderId="29" xfId="0" applyNumberFormat="1" applyFont="1" applyBorder="1" applyAlignment="1">
      <alignment horizontal="center" vertical="center" shrinkToFit="1"/>
    </xf>
    <xf numFmtId="0" fontId="5" fillId="0" borderId="14" xfId="0" applyFont="1" applyBorder="1" applyAlignment="1" applyProtection="1">
      <alignment horizontal="left" vertical="center" shrinkToFit="1"/>
      <protection locked="0"/>
    </xf>
    <xf numFmtId="0" fontId="12" fillId="0" borderId="224" xfId="0" applyFont="1" applyBorder="1" applyAlignment="1">
      <alignment horizontal="center" vertical="center" shrinkToFit="1"/>
    </xf>
    <xf numFmtId="0" fontId="12" fillId="0" borderId="220" xfId="0" applyFont="1" applyBorder="1" applyAlignment="1">
      <alignment horizontal="center" vertical="center" shrinkToFit="1"/>
    </xf>
    <xf numFmtId="0" fontId="12" fillId="0" borderId="225" xfId="0" applyFont="1" applyBorder="1" applyAlignment="1">
      <alignment horizontal="center" vertical="center" shrinkToFit="1"/>
    </xf>
    <xf numFmtId="0" fontId="32" fillId="0" borderId="235" xfId="0" applyFont="1" applyBorder="1" applyAlignment="1">
      <alignment horizontal="center" vertical="center" shrinkToFit="1"/>
    </xf>
    <xf numFmtId="0" fontId="32" fillId="0" borderId="227" xfId="0" applyFont="1" applyBorder="1" applyAlignment="1">
      <alignment horizontal="center" vertical="center" shrinkToFit="1"/>
    </xf>
    <xf numFmtId="0" fontId="32" fillId="0" borderId="236" xfId="0" applyFont="1" applyBorder="1" applyAlignment="1">
      <alignment horizontal="center" vertical="center" shrinkToFit="1"/>
    </xf>
    <xf numFmtId="0" fontId="32" fillId="0" borderId="222" xfId="0" applyFont="1" applyBorder="1" applyAlignment="1">
      <alignment horizontal="center" vertical="center" shrinkToFit="1"/>
    </xf>
    <xf numFmtId="0" fontId="32" fillId="0" borderId="237" xfId="0" applyFont="1" applyBorder="1" applyAlignment="1">
      <alignment horizontal="center" vertical="center" shrinkToFit="1"/>
    </xf>
    <xf numFmtId="0" fontId="12" fillId="0" borderId="39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center" vertical="center" shrinkToFit="1"/>
    </xf>
    <xf numFmtId="0" fontId="12" fillId="0" borderId="218" xfId="0" applyFont="1" applyBorder="1" applyAlignment="1">
      <alignment horizontal="center" vertical="center" shrinkToFit="1"/>
    </xf>
    <xf numFmtId="0" fontId="12" fillId="0" borderId="46" xfId="0" applyFont="1" applyBorder="1" applyAlignment="1">
      <alignment horizontal="center" vertical="center" shrinkToFit="1"/>
    </xf>
    <xf numFmtId="0" fontId="12" fillId="0" borderId="47" xfId="0" applyFont="1" applyBorder="1" applyAlignment="1">
      <alignment horizontal="center" vertical="center" shrinkToFit="1"/>
    </xf>
    <xf numFmtId="0" fontId="12" fillId="0" borderId="49" xfId="0" applyFont="1" applyBorder="1" applyAlignment="1">
      <alignment horizontal="center" vertical="center" shrinkToFit="1"/>
    </xf>
    <xf numFmtId="0" fontId="32" fillId="0" borderId="221" xfId="0" applyFont="1" applyBorder="1" applyAlignment="1">
      <alignment horizontal="center" vertical="center" shrinkToFit="1"/>
    </xf>
    <xf numFmtId="0" fontId="32" fillId="0" borderId="223" xfId="0" applyFont="1" applyBorder="1" applyAlignment="1">
      <alignment horizontal="center" vertical="center" shrinkToFit="1"/>
    </xf>
    <xf numFmtId="0" fontId="12" fillId="0" borderId="231" xfId="0" applyFont="1" applyBorder="1" applyAlignment="1">
      <alignment horizontal="center" vertical="center" shrinkToFit="1"/>
    </xf>
    <xf numFmtId="0" fontId="12" fillId="0" borderId="145" xfId="0" applyFont="1" applyBorder="1" applyAlignment="1">
      <alignment horizontal="center" vertical="center" shrinkToFit="1"/>
    </xf>
    <xf numFmtId="0" fontId="32" fillId="0" borderId="232" xfId="0" applyFont="1" applyBorder="1" applyAlignment="1">
      <alignment horizontal="center" vertical="center" shrinkToFit="1"/>
    </xf>
    <xf numFmtId="0" fontId="32" fillId="0" borderId="226" xfId="0" applyFont="1" applyBorder="1" applyAlignment="1">
      <alignment horizontal="center" vertical="center" shrinkToFit="1"/>
    </xf>
    <xf numFmtId="0" fontId="32" fillId="0" borderId="228" xfId="0" applyFont="1" applyBorder="1" applyAlignment="1">
      <alignment horizontal="center" vertical="center" shrinkToFit="1"/>
    </xf>
    <xf numFmtId="0" fontId="32" fillId="0" borderId="229" xfId="0" applyFont="1" applyBorder="1" applyAlignment="1">
      <alignment horizontal="center" vertical="center" shrinkToFit="1"/>
    </xf>
    <xf numFmtId="0" fontId="32" fillId="0" borderId="230" xfId="0" applyFont="1" applyBorder="1" applyAlignment="1">
      <alignment horizontal="center" vertical="center" shrinkToFit="1"/>
    </xf>
    <xf numFmtId="0" fontId="7" fillId="0" borderId="215" xfId="0" applyFont="1" applyBorder="1" applyAlignment="1">
      <alignment horizontal="center" vertical="center" shrinkToFit="1"/>
    </xf>
    <xf numFmtId="0" fontId="7" fillId="0" borderId="216" xfId="0" applyFont="1" applyBorder="1" applyAlignment="1">
      <alignment horizontal="center" vertical="center" shrinkToFit="1"/>
    </xf>
    <xf numFmtId="0" fontId="12" fillId="0" borderId="217" xfId="0" applyFont="1" applyBorder="1" applyAlignment="1">
      <alignment horizontal="center" vertical="center" shrinkToFit="1"/>
    </xf>
    <xf numFmtId="0" fontId="12" fillId="0" borderId="219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3" fillId="0" borderId="30" xfId="0" applyFont="1" applyBorder="1" applyAlignment="1" applyProtection="1">
      <alignment horizontal="center" vertical="center" shrinkToFit="1"/>
      <protection locked="0"/>
    </xf>
    <xf numFmtId="0" fontId="36" fillId="0" borderId="245" xfId="0" applyFont="1" applyBorder="1" applyAlignment="1">
      <alignment horizontal="center" vertical="center" wrapText="1"/>
    </xf>
    <xf numFmtId="0" fontId="36" fillId="0" borderId="246" xfId="0" applyFont="1" applyBorder="1" applyAlignment="1">
      <alignment horizontal="center" vertical="center" wrapText="1"/>
    </xf>
    <xf numFmtId="0" fontId="17" fillId="0" borderId="251" xfId="0" applyFont="1" applyBorder="1" applyAlignment="1">
      <alignment horizontal="center" vertical="center" shrinkToFit="1"/>
    </xf>
    <xf numFmtId="0" fontId="17" fillId="0" borderId="252" xfId="0" applyFont="1" applyBorder="1" applyAlignment="1">
      <alignment horizontal="center" vertical="center" shrinkToFit="1"/>
    </xf>
    <xf numFmtId="0" fontId="17" fillId="0" borderId="238" xfId="0" applyFont="1" applyBorder="1" applyAlignment="1">
      <alignment horizontal="center" vertical="center" shrinkToFit="1"/>
    </xf>
    <xf numFmtId="0" fontId="17" fillId="0" borderId="253" xfId="0" applyFont="1" applyBorder="1" applyAlignment="1">
      <alignment horizontal="center" vertical="center" shrinkToFit="1"/>
    </xf>
    <xf numFmtId="0" fontId="36" fillId="0" borderId="243" xfId="0" applyFont="1" applyBorder="1" applyAlignment="1">
      <alignment horizontal="center" vertical="center" wrapText="1"/>
    </xf>
    <xf numFmtId="0" fontId="36" fillId="0" borderId="244" xfId="0" applyFont="1" applyBorder="1" applyAlignment="1">
      <alignment horizontal="center" vertical="center" wrapText="1"/>
    </xf>
    <xf numFmtId="0" fontId="17" fillId="0" borderId="226" xfId="0" applyFont="1" applyBorder="1" applyAlignment="1">
      <alignment horizontal="center" vertical="center" shrinkToFit="1"/>
    </xf>
    <xf numFmtId="0" fontId="17" fillId="0" borderId="230" xfId="0" applyFont="1" applyBorder="1" applyAlignment="1">
      <alignment horizontal="center" vertical="center" shrinkToFit="1"/>
    </xf>
    <xf numFmtId="0" fontId="17" fillId="0" borderId="250" xfId="0" applyFont="1" applyBorder="1" applyAlignment="1">
      <alignment horizontal="center" vertical="center" shrinkToFit="1"/>
    </xf>
    <xf numFmtId="0" fontId="17" fillId="0" borderId="113" xfId="0" applyFont="1" applyBorder="1" applyAlignment="1">
      <alignment horizontal="center" vertical="center" shrinkToFit="1"/>
    </xf>
    <xf numFmtId="0" fontId="17" fillId="0" borderId="242" xfId="0" applyFont="1" applyBorder="1" applyAlignment="1">
      <alignment horizontal="center" vertical="center" shrinkToFit="1"/>
    </xf>
    <xf numFmtId="0" fontId="17" fillId="0" borderId="219" xfId="0" applyFont="1" applyBorder="1" applyAlignment="1">
      <alignment horizontal="center" vertical="center" shrinkToFit="1"/>
    </xf>
    <xf numFmtId="0" fontId="17" fillId="0" borderId="220" xfId="0" applyFont="1" applyBorder="1" applyAlignment="1">
      <alignment horizontal="center" vertical="center" shrinkToFit="1"/>
    </xf>
    <xf numFmtId="0" fontId="17" fillId="0" borderId="249" xfId="0" applyFont="1" applyBorder="1" applyAlignment="1">
      <alignment horizontal="center" vertical="center" shrinkToFit="1"/>
    </xf>
    <xf numFmtId="0" fontId="17" fillId="0" borderId="224" xfId="0" applyFont="1" applyBorder="1" applyAlignment="1">
      <alignment horizontal="center" vertical="center" shrinkToFit="1"/>
    </xf>
    <xf numFmtId="0" fontId="17" fillId="0" borderId="225" xfId="0" applyFont="1" applyBorder="1" applyAlignment="1">
      <alignment horizontal="center" vertical="center" shrinkToFit="1"/>
    </xf>
    <xf numFmtId="0" fontId="17" fillId="0" borderId="18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46" xfId="0" applyFont="1" applyBorder="1" applyAlignment="1">
      <alignment horizontal="center" vertical="center" shrinkToFit="1"/>
    </xf>
    <xf numFmtId="0" fontId="17" fillId="0" borderId="49" xfId="0" applyFont="1" applyBorder="1" applyAlignment="1">
      <alignment horizontal="center" vertical="center" shrinkToFit="1"/>
    </xf>
    <xf numFmtId="0" fontId="17" fillId="0" borderId="221" xfId="0" applyFont="1" applyBorder="1" applyAlignment="1">
      <alignment horizontal="center" vertical="center" shrinkToFit="1"/>
    </xf>
    <xf numFmtId="0" fontId="17" fillId="0" borderId="223" xfId="0" applyFont="1" applyBorder="1" applyAlignment="1">
      <alignment horizontal="center" vertical="center" shrinkToFit="1"/>
    </xf>
    <xf numFmtId="0" fontId="27" fillId="0" borderId="14" xfId="0" applyFont="1" applyBorder="1" applyAlignment="1" applyProtection="1">
      <alignment horizontal="center" vertical="center" shrinkToFit="1"/>
      <protection locked="0"/>
    </xf>
    <xf numFmtId="0" fontId="17" fillId="0" borderId="237" xfId="0" applyFont="1" applyBorder="1" applyAlignment="1">
      <alignment horizontal="center" vertical="center" shrinkToFit="1"/>
    </xf>
    <xf numFmtId="0" fontId="17" fillId="0" borderId="47" xfId="0" applyFont="1" applyBorder="1" applyAlignment="1">
      <alignment horizontal="center" vertical="center" shrinkToFit="1"/>
    </xf>
    <xf numFmtId="0" fontId="17" fillId="0" borderId="236" xfId="0" applyFont="1" applyBorder="1" applyAlignment="1">
      <alignment horizontal="center" vertical="center" shrinkToFit="1"/>
    </xf>
    <xf numFmtId="0" fontId="17" fillId="0" borderId="222" xfId="0" applyFont="1" applyBorder="1" applyAlignment="1">
      <alignment horizontal="center" vertical="center" shrinkToFit="1"/>
    </xf>
    <xf numFmtId="0" fontId="17" fillId="0" borderId="248" xfId="0" applyFont="1" applyBorder="1" applyAlignment="1">
      <alignment horizontal="center" vertical="center" shrinkToFit="1"/>
    </xf>
    <xf numFmtId="0" fontId="17" fillId="0" borderId="30" xfId="0" applyFont="1" applyBorder="1" applyAlignment="1">
      <alignment horizontal="center" vertical="center" shrinkToFit="1"/>
    </xf>
    <xf numFmtId="0" fontId="17" fillId="0" borderId="231" xfId="0" applyFont="1" applyBorder="1" applyAlignment="1">
      <alignment horizontal="center" vertical="center" shrinkToFit="1"/>
    </xf>
    <xf numFmtId="0" fontId="17" fillId="0" borderId="229" xfId="0" applyFont="1" applyBorder="1" applyAlignment="1">
      <alignment horizontal="center" vertical="center" shrinkToFit="1"/>
    </xf>
    <xf numFmtId="0" fontId="17" fillId="0" borderId="232" xfId="0" applyFont="1" applyBorder="1" applyAlignment="1">
      <alignment horizontal="center" vertical="center" shrinkToFit="1"/>
    </xf>
    <xf numFmtId="0" fontId="25" fillId="6" borderId="254" xfId="3" applyFont="1" applyFill="1" applyBorder="1" applyAlignment="1" applyProtection="1">
      <alignment horizontal="center" vertical="center" wrapText="1"/>
      <protection locked="0"/>
    </xf>
    <xf numFmtId="0" fontId="25" fillId="6" borderId="16" xfId="3" applyFont="1" applyFill="1" applyBorder="1" applyAlignment="1" applyProtection="1">
      <alignment horizontal="center" vertical="center" wrapText="1"/>
      <protection locked="0"/>
    </xf>
    <xf numFmtId="0" fontId="25" fillId="6" borderId="256" xfId="3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>
      <alignment horizontal="left" vertical="center"/>
    </xf>
    <xf numFmtId="0" fontId="24" fillId="6" borderId="171" xfId="5" applyFont="1" applyFill="1" applyBorder="1" applyAlignment="1">
      <alignment horizontal="center" vertical="center" wrapText="1"/>
    </xf>
    <xf numFmtId="0" fontId="24" fillId="6" borderId="146" xfId="5" applyFont="1" applyFill="1" applyBorder="1" applyAlignment="1">
      <alignment horizontal="center" vertical="center" wrapText="1"/>
    </xf>
    <xf numFmtId="0" fontId="20" fillId="0" borderId="14" xfId="4" applyFont="1" applyBorder="1" applyAlignment="1">
      <alignment horizontal="left" vertical="center" shrinkToFit="1"/>
    </xf>
    <xf numFmtId="0" fontId="24" fillId="0" borderId="46" xfId="5" applyFont="1" applyBorder="1" applyAlignment="1" applyProtection="1">
      <alignment horizontal="center" vertical="center" wrapText="1"/>
      <protection locked="0"/>
    </xf>
    <xf numFmtId="0" fontId="24" fillId="0" borderId="47" xfId="5" applyFont="1" applyBorder="1" applyAlignment="1" applyProtection="1">
      <alignment horizontal="center" vertical="center" wrapText="1"/>
      <protection locked="0"/>
    </xf>
    <xf numFmtId="0" fontId="24" fillId="0" borderId="49" xfId="5" applyFont="1" applyBorder="1" applyAlignment="1" applyProtection="1">
      <alignment horizontal="center" vertical="center" wrapText="1"/>
      <protection locked="0"/>
    </xf>
    <xf numFmtId="0" fontId="24" fillId="0" borderId="229" xfId="5" applyFont="1" applyBorder="1" applyAlignment="1" applyProtection="1">
      <alignment horizontal="center" vertical="center" wrapText="1"/>
      <protection locked="0"/>
    </xf>
    <xf numFmtId="0" fontId="25" fillId="6" borderId="255" xfId="3" applyFont="1" applyFill="1" applyBorder="1" applyAlignment="1" applyProtection="1">
      <alignment horizontal="center" vertical="center" wrapText="1"/>
      <protection locked="0"/>
    </xf>
  </cellXfs>
  <cellStyles count="6">
    <cellStyle name="ハイパーリンク" xfId="1" builtinId="8"/>
    <cellStyle name="標準" xfId="0" builtinId="0"/>
    <cellStyle name="標準 2" xfId="2" xr:uid="{00000000-0005-0000-0000-000002000000}"/>
    <cellStyle name="標準_2004ｸﾗﾌﾞﾕｰｽ関東大会2次試合結果" xfId="3" xr:uid="{00000000-0005-0000-0000-000003000000}"/>
    <cellStyle name="標準_23種リーグ案" xfId="4" xr:uid="{00000000-0005-0000-0000-000004000000}"/>
    <cellStyle name="標準_Sheet1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273049</xdr:colOff>
      <xdr:row>55</xdr:row>
      <xdr:rowOff>156633</xdr:rowOff>
    </xdr:from>
    <xdr:to>
      <xdr:col>10</xdr:col>
      <xdr:colOff>168275</xdr:colOff>
      <xdr:row>60</xdr:row>
      <xdr:rowOff>71967</xdr:rowOff>
    </xdr:to>
    <xdr:sp macro="" textlink="">
      <xdr:nvSpPr>
        <xdr:cNvPr id="3" name="AutoShape 2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2061632" y="10009716"/>
          <a:ext cx="2011893" cy="772584"/>
        </a:xfrm>
        <a:prstGeom prst="wedgeRoundRectCallout">
          <a:avLst>
            <a:gd name="adj1" fmla="val -59315"/>
            <a:gd name="adj2" fmla="val -82097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（１）設定日以外の日は、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直前の＜節＞で表示します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（２）１１月後半以降に行った場合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には＜最終節＞で表示します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5</xdr:row>
      <xdr:rowOff>0</xdr:rowOff>
    </xdr:from>
    <xdr:to>
      <xdr:col>57</xdr:col>
      <xdr:colOff>47625</xdr:colOff>
      <xdr:row>85</xdr:row>
      <xdr:rowOff>0</xdr:rowOff>
    </xdr:to>
    <xdr:sp macro="" textlink="">
      <xdr:nvSpPr>
        <xdr:cNvPr id="3073" name="Line 1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SpPr>
          <a:spLocks noChangeShapeType="1"/>
        </xdr:cNvSpPr>
      </xdr:nvSpPr>
      <xdr:spPr bwMode="auto">
        <a:xfrm>
          <a:off x="771525" y="1047750"/>
          <a:ext cx="5534025" cy="11287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0</xdr:rowOff>
    </xdr:from>
    <xdr:to>
      <xdr:col>56</xdr:col>
      <xdr:colOff>47625</xdr:colOff>
      <xdr:row>84</xdr:row>
      <xdr:rowOff>0</xdr:rowOff>
    </xdr:to>
    <xdr:sp macro="" textlink="">
      <xdr:nvSpPr>
        <xdr:cNvPr id="4097" name="Line 2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SpPr>
          <a:spLocks noChangeShapeType="1"/>
        </xdr:cNvSpPr>
      </xdr:nvSpPr>
      <xdr:spPr bwMode="auto">
        <a:xfrm>
          <a:off x="771525" y="1047750"/>
          <a:ext cx="5543550" cy="11277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1133475</xdr:colOff>
      <xdr:row>3</xdr:row>
      <xdr:rowOff>9525</xdr:rowOff>
    </xdr:from>
    <xdr:to>
      <xdr:col>0</xdr:col>
      <xdr:colOff>1133475</xdr:colOff>
      <xdr:row>3</xdr:row>
      <xdr:rowOff>9525</xdr:rowOff>
    </xdr:to>
    <xdr:sp macro="" textlink="">
      <xdr:nvSpPr>
        <xdr:cNvPr id="1025" name="Line 3">
          <a:extLst>
            <a:ext uri="{FF2B5EF4-FFF2-40B4-BE49-F238E27FC236}">
              <a16:creationId xmlns:a16="http://schemas.microsoft.com/office/drawing/2014/main" id="{00000000-0008-0000-0400-000001040000}"/>
            </a:ext>
          </a:extLst>
        </xdr:cNvPr>
        <xdr:cNvSpPr>
          <a:spLocks noChangeShapeType="1"/>
        </xdr:cNvSpPr>
      </xdr:nvSpPr>
      <xdr:spPr bwMode="auto">
        <a:xfrm>
          <a:off x="1133475" y="981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3</xdr:row>
      <xdr:rowOff>0</xdr:rowOff>
    </xdr:from>
    <xdr:to>
      <xdr:col>25</xdr:col>
      <xdr:colOff>0</xdr:colOff>
      <xdr:row>19</xdr:row>
      <xdr:rowOff>0</xdr:rowOff>
    </xdr:to>
    <xdr:sp macro="" textlink="">
      <xdr:nvSpPr>
        <xdr:cNvPr id="1026" name="Line 6">
          <a:extLst>
            <a:ext uri="{FF2B5EF4-FFF2-40B4-BE49-F238E27FC236}">
              <a16:creationId xmlns:a16="http://schemas.microsoft.com/office/drawing/2014/main" id="{00000000-0008-0000-0400-000002040000}"/>
            </a:ext>
          </a:extLst>
        </xdr:cNvPr>
        <xdr:cNvSpPr>
          <a:spLocks noChangeShapeType="1"/>
        </xdr:cNvSpPr>
      </xdr:nvSpPr>
      <xdr:spPr bwMode="auto">
        <a:xfrm>
          <a:off x="1133475" y="971550"/>
          <a:ext cx="5953125" cy="5181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5</xdr:row>
      <xdr:rowOff>0</xdr:rowOff>
    </xdr:from>
    <xdr:to>
      <xdr:col>0</xdr:col>
      <xdr:colOff>1133475</xdr:colOff>
      <xdr:row>5</xdr:row>
      <xdr:rowOff>0</xdr:rowOff>
    </xdr:to>
    <xdr:sp macro="" textlink="">
      <xdr:nvSpPr>
        <xdr:cNvPr id="1027" name="Line 7">
          <a:extLst>
            <a:ext uri="{FF2B5EF4-FFF2-40B4-BE49-F238E27FC236}">
              <a16:creationId xmlns:a16="http://schemas.microsoft.com/office/drawing/2014/main" id="{00000000-0008-0000-0400-000003040000}"/>
            </a:ext>
          </a:extLst>
        </xdr:cNvPr>
        <xdr:cNvSpPr>
          <a:spLocks noChangeShapeType="1"/>
        </xdr:cNvSpPr>
      </xdr:nvSpPr>
      <xdr:spPr bwMode="auto">
        <a:xfrm>
          <a:off x="1133475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5</xdr:row>
      <xdr:rowOff>0</xdr:rowOff>
    </xdr:from>
    <xdr:to>
      <xdr:col>0</xdr:col>
      <xdr:colOff>1133475</xdr:colOff>
      <xdr:row>5</xdr:row>
      <xdr:rowOff>0</xdr:rowOff>
    </xdr:to>
    <xdr:sp macro="" textlink="">
      <xdr:nvSpPr>
        <xdr:cNvPr id="1028" name="Line 8">
          <a:extLst>
            <a:ext uri="{FF2B5EF4-FFF2-40B4-BE49-F238E27FC236}">
              <a16:creationId xmlns:a16="http://schemas.microsoft.com/office/drawing/2014/main" id="{00000000-0008-0000-0400-000004040000}"/>
            </a:ext>
          </a:extLst>
        </xdr:cNvPr>
        <xdr:cNvSpPr>
          <a:spLocks noChangeShapeType="1"/>
        </xdr:cNvSpPr>
      </xdr:nvSpPr>
      <xdr:spPr bwMode="auto">
        <a:xfrm>
          <a:off x="1133475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5</xdr:row>
      <xdr:rowOff>0</xdr:rowOff>
    </xdr:from>
    <xdr:to>
      <xdr:col>0</xdr:col>
      <xdr:colOff>1133475</xdr:colOff>
      <xdr:row>5</xdr:row>
      <xdr:rowOff>0</xdr:rowOff>
    </xdr:to>
    <xdr:sp macro="" textlink="">
      <xdr:nvSpPr>
        <xdr:cNvPr id="1029" name="Line 9">
          <a:extLst>
            <a:ext uri="{FF2B5EF4-FFF2-40B4-BE49-F238E27FC236}">
              <a16:creationId xmlns:a16="http://schemas.microsoft.com/office/drawing/2014/main" id="{00000000-0008-0000-0400-000005040000}"/>
            </a:ext>
          </a:extLst>
        </xdr:cNvPr>
        <xdr:cNvSpPr>
          <a:spLocks noChangeShapeType="1"/>
        </xdr:cNvSpPr>
      </xdr:nvSpPr>
      <xdr:spPr bwMode="auto">
        <a:xfrm>
          <a:off x="1133475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5</xdr:row>
      <xdr:rowOff>0</xdr:rowOff>
    </xdr:from>
    <xdr:to>
      <xdr:col>0</xdr:col>
      <xdr:colOff>1133475</xdr:colOff>
      <xdr:row>5</xdr:row>
      <xdr:rowOff>0</xdr:rowOff>
    </xdr:to>
    <xdr:sp macro="" textlink="">
      <xdr:nvSpPr>
        <xdr:cNvPr id="1030" name="Line 10">
          <a:extLst>
            <a:ext uri="{FF2B5EF4-FFF2-40B4-BE49-F238E27FC236}">
              <a16:creationId xmlns:a16="http://schemas.microsoft.com/office/drawing/2014/main" id="{00000000-0008-0000-0400-000006040000}"/>
            </a:ext>
          </a:extLst>
        </xdr:cNvPr>
        <xdr:cNvSpPr>
          <a:spLocks noChangeShapeType="1"/>
        </xdr:cNvSpPr>
      </xdr:nvSpPr>
      <xdr:spPr bwMode="auto">
        <a:xfrm>
          <a:off x="1133475" y="16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5</xdr:row>
      <xdr:rowOff>9525</xdr:rowOff>
    </xdr:from>
    <xdr:to>
      <xdr:col>0</xdr:col>
      <xdr:colOff>1133475</xdr:colOff>
      <xdr:row>5</xdr:row>
      <xdr:rowOff>9525</xdr:rowOff>
    </xdr:to>
    <xdr:sp macro="" textlink="">
      <xdr:nvSpPr>
        <xdr:cNvPr id="1031" name="Line 11">
          <a:extLst>
            <a:ext uri="{FF2B5EF4-FFF2-40B4-BE49-F238E27FC236}">
              <a16:creationId xmlns:a16="http://schemas.microsoft.com/office/drawing/2014/main" id="{00000000-0008-0000-0400-000007040000}"/>
            </a:ext>
          </a:extLst>
        </xdr:cNvPr>
        <xdr:cNvSpPr>
          <a:spLocks noChangeShapeType="1"/>
        </xdr:cNvSpPr>
      </xdr:nvSpPr>
      <xdr:spPr bwMode="auto">
        <a:xfrm>
          <a:off x="1133475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5</xdr:row>
      <xdr:rowOff>9525</xdr:rowOff>
    </xdr:from>
    <xdr:to>
      <xdr:col>0</xdr:col>
      <xdr:colOff>1133475</xdr:colOff>
      <xdr:row>5</xdr:row>
      <xdr:rowOff>9525</xdr:rowOff>
    </xdr:to>
    <xdr:sp macro="" textlink="">
      <xdr:nvSpPr>
        <xdr:cNvPr id="1032" name="Line 12">
          <a:extLst>
            <a:ext uri="{FF2B5EF4-FFF2-40B4-BE49-F238E27FC236}">
              <a16:creationId xmlns:a16="http://schemas.microsoft.com/office/drawing/2014/main" id="{00000000-0008-0000-0400-000008040000}"/>
            </a:ext>
          </a:extLst>
        </xdr:cNvPr>
        <xdr:cNvSpPr>
          <a:spLocks noChangeShapeType="1"/>
        </xdr:cNvSpPr>
      </xdr:nvSpPr>
      <xdr:spPr bwMode="auto">
        <a:xfrm>
          <a:off x="1133475" y="1628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6</xdr:row>
      <xdr:rowOff>0</xdr:rowOff>
    </xdr:from>
    <xdr:to>
      <xdr:col>0</xdr:col>
      <xdr:colOff>1133475</xdr:colOff>
      <xdr:row>6</xdr:row>
      <xdr:rowOff>0</xdr:rowOff>
    </xdr:to>
    <xdr:sp macro="" textlink="">
      <xdr:nvSpPr>
        <xdr:cNvPr id="1033" name="Line 13">
          <a:extLst>
            <a:ext uri="{FF2B5EF4-FFF2-40B4-BE49-F238E27FC236}">
              <a16:creationId xmlns:a16="http://schemas.microsoft.com/office/drawing/2014/main" id="{00000000-0008-0000-0400-000009040000}"/>
            </a:ext>
          </a:extLst>
        </xdr:cNvPr>
        <xdr:cNvSpPr>
          <a:spLocks noChangeShapeType="1"/>
        </xdr:cNvSpPr>
      </xdr:nvSpPr>
      <xdr:spPr bwMode="auto">
        <a:xfrm>
          <a:off x="1133475" y="1943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6</xdr:row>
      <xdr:rowOff>0</xdr:rowOff>
    </xdr:from>
    <xdr:to>
      <xdr:col>0</xdr:col>
      <xdr:colOff>1133475</xdr:colOff>
      <xdr:row>6</xdr:row>
      <xdr:rowOff>0</xdr:rowOff>
    </xdr:to>
    <xdr:sp macro="" textlink="">
      <xdr:nvSpPr>
        <xdr:cNvPr id="1034" name="Line 14">
          <a:extLst>
            <a:ext uri="{FF2B5EF4-FFF2-40B4-BE49-F238E27FC236}">
              <a16:creationId xmlns:a16="http://schemas.microsoft.com/office/drawing/2014/main" id="{00000000-0008-0000-0400-00000A040000}"/>
            </a:ext>
          </a:extLst>
        </xdr:cNvPr>
        <xdr:cNvSpPr>
          <a:spLocks noChangeShapeType="1"/>
        </xdr:cNvSpPr>
      </xdr:nvSpPr>
      <xdr:spPr bwMode="auto">
        <a:xfrm>
          <a:off x="1133475" y="1943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6</xdr:row>
      <xdr:rowOff>0</xdr:rowOff>
    </xdr:from>
    <xdr:to>
      <xdr:col>0</xdr:col>
      <xdr:colOff>1133475</xdr:colOff>
      <xdr:row>6</xdr:row>
      <xdr:rowOff>0</xdr:rowOff>
    </xdr:to>
    <xdr:sp macro="" textlink="">
      <xdr:nvSpPr>
        <xdr:cNvPr id="1035" name="Line 15">
          <a:extLst>
            <a:ext uri="{FF2B5EF4-FFF2-40B4-BE49-F238E27FC236}">
              <a16:creationId xmlns:a16="http://schemas.microsoft.com/office/drawing/2014/main" id="{00000000-0008-0000-0400-00000B040000}"/>
            </a:ext>
          </a:extLst>
        </xdr:cNvPr>
        <xdr:cNvSpPr>
          <a:spLocks noChangeShapeType="1"/>
        </xdr:cNvSpPr>
      </xdr:nvSpPr>
      <xdr:spPr bwMode="auto">
        <a:xfrm>
          <a:off x="1133475" y="1943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6</xdr:row>
      <xdr:rowOff>0</xdr:rowOff>
    </xdr:from>
    <xdr:to>
      <xdr:col>0</xdr:col>
      <xdr:colOff>1133475</xdr:colOff>
      <xdr:row>6</xdr:row>
      <xdr:rowOff>0</xdr:rowOff>
    </xdr:to>
    <xdr:sp macro="" textlink="">
      <xdr:nvSpPr>
        <xdr:cNvPr id="1036" name="Line 16">
          <a:extLst>
            <a:ext uri="{FF2B5EF4-FFF2-40B4-BE49-F238E27FC236}">
              <a16:creationId xmlns:a16="http://schemas.microsoft.com/office/drawing/2014/main" id="{00000000-0008-0000-0400-00000C040000}"/>
            </a:ext>
          </a:extLst>
        </xdr:cNvPr>
        <xdr:cNvSpPr>
          <a:spLocks noChangeShapeType="1"/>
        </xdr:cNvSpPr>
      </xdr:nvSpPr>
      <xdr:spPr bwMode="auto">
        <a:xfrm>
          <a:off x="1133475" y="1943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6</xdr:row>
      <xdr:rowOff>0</xdr:rowOff>
    </xdr:from>
    <xdr:to>
      <xdr:col>0</xdr:col>
      <xdr:colOff>1133475</xdr:colOff>
      <xdr:row>6</xdr:row>
      <xdr:rowOff>0</xdr:rowOff>
    </xdr:to>
    <xdr:sp macro="" textlink="">
      <xdr:nvSpPr>
        <xdr:cNvPr id="1037" name="Line 17">
          <a:extLst>
            <a:ext uri="{FF2B5EF4-FFF2-40B4-BE49-F238E27FC236}">
              <a16:creationId xmlns:a16="http://schemas.microsoft.com/office/drawing/2014/main" id="{00000000-0008-0000-0400-00000D040000}"/>
            </a:ext>
          </a:extLst>
        </xdr:cNvPr>
        <xdr:cNvSpPr>
          <a:spLocks noChangeShapeType="1"/>
        </xdr:cNvSpPr>
      </xdr:nvSpPr>
      <xdr:spPr bwMode="auto">
        <a:xfrm>
          <a:off x="1133475" y="1943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6</xdr:row>
      <xdr:rowOff>0</xdr:rowOff>
    </xdr:from>
    <xdr:to>
      <xdr:col>0</xdr:col>
      <xdr:colOff>1133475</xdr:colOff>
      <xdr:row>6</xdr:row>
      <xdr:rowOff>0</xdr:rowOff>
    </xdr:to>
    <xdr:sp macro="" textlink="">
      <xdr:nvSpPr>
        <xdr:cNvPr id="1038" name="Line 18">
          <a:extLst>
            <a:ext uri="{FF2B5EF4-FFF2-40B4-BE49-F238E27FC236}">
              <a16:creationId xmlns:a16="http://schemas.microsoft.com/office/drawing/2014/main" id="{00000000-0008-0000-0400-00000E040000}"/>
            </a:ext>
          </a:extLst>
        </xdr:cNvPr>
        <xdr:cNvSpPr>
          <a:spLocks noChangeShapeType="1"/>
        </xdr:cNvSpPr>
      </xdr:nvSpPr>
      <xdr:spPr bwMode="auto">
        <a:xfrm>
          <a:off x="1133475" y="1943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6</xdr:row>
      <xdr:rowOff>0</xdr:rowOff>
    </xdr:from>
    <xdr:to>
      <xdr:col>0</xdr:col>
      <xdr:colOff>1133475</xdr:colOff>
      <xdr:row>6</xdr:row>
      <xdr:rowOff>0</xdr:rowOff>
    </xdr:to>
    <xdr:sp macro="" textlink="">
      <xdr:nvSpPr>
        <xdr:cNvPr id="1039" name="Line 19">
          <a:extLst>
            <a:ext uri="{FF2B5EF4-FFF2-40B4-BE49-F238E27FC236}">
              <a16:creationId xmlns:a16="http://schemas.microsoft.com/office/drawing/2014/main" id="{00000000-0008-0000-0400-00000F040000}"/>
            </a:ext>
          </a:extLst>
        </xdr:cNvPr>
        <xdr:cNvSpPr>
          <a:spLocks noChangeShapeType="1"/>
        </xdr:cNvSpPr>
      </xdr:nvSpPr>
      <xdr:spPr bwMode="auto">
        <a:xfrm>
          <a:off x="1133475" y="1943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6</xdr:row>
      <xdr:rowOff>0</xdr:rowOff>
    </xdr:from>
    <xdr:to>
      <xdr:col>0</xdr:col>
      <xdr:colOff>1133475</xdr:colOff>
      <xdr:row>6</xdr:row>
      <xdr:rowOff>0</xdr:rowOff>
    </xdr:to>
    <xdr:sp macro="" textlink="">
      <xdr:nvSpPr>
        <xdr:cNvPr id="1040" name="Line 20">
          <a:extLst>
            <a:ext uri="{FF2B5EF4-FFF2-40B4-BE49-F238E27FC236}">
              <a16:creationId xmlns:a16="http://schemas.microsoft.com/office/drawing/2014/main" id="{00000000-0008-0000-0400-000010040000}"/>
            </a:ext>
          </a:extLst>
        </xdr:cNvPr>
        <xdr:cNvSpPr>
          <a:spLocks noChangeShapeType="1"/>
        </xdr:cNvSpPr>
      </xdr:nvSpPr>
      <xdr:spPr bwMode="auto">
        <a:xfrm>
          <a:off x="1133475" y="1943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6</xdr:row>
      <xdr:rowOff>9525</xdr:rowOff>
    </xdr:from>
    <xdr:to>
      <xdr:col>0</xdr:col>
      <xdr:colOff>1133475</xdr:colOff>
      <xdr:row>6</xdr:row>
      <xdr:rowOff>9525</xdr:rowOff>
    </xdr:to>
    <xdr:sp macro="" textlink="">
      <xdr:nvSpPr>
        <xdr:cNvPr id="1041" name="Line 21">
          <a:extLst>
            <a:ext uri="{FF2B5EF4-FFF2-40B4-BE49-F238E27FC236}">
              <a16:creationId xmlns:a16="http://schemas.microsoft.com/office/drawing/2014/main" id="{00000000-0008-0000-0400-000011040000}"/>
            </a:ext>
          </a:extLst>
        </xdr:cNvPr>
        <xdr:cNvSpPr>
          <a:spLocks noChangeShapeType="1"/>
        </xdr:cNvSpPr>
      </xdr:nvSpPr>
      <xdr:spPr bwMode="auto">
        <a:xfrm>
          <a:off x="1133475" y="1952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6</xdr:row>
      <xdr:rowOff>9525</xdr:rowOff>
    </xdr:from>
    <xdr:to>
      <xdr:col>0</xdr:col>
      <xdr:colOff>1133475</xdr:colOff>
      <xdr:row>6</xdr:row>
      <xdr:rowOff>9525</xdr:rowOff>
    </xdr:to>
    <xdr:sp macro="" textlink="">
      <xdr:nvSpPr>
        <xdr:cNvPr id="1042" name="Line 22">
          <a:extLst>
            <a:ext uri="{FF2B5EF4-FFF2-40B4-BE49-F238E27FC236}">
              <a16:creationId xmlns:a16="http://schemas.microsoft.com/office/drawing/2014/main" id="{00000000-0008-0000-0400-000012040000}"/>
            </a:ext>
          </a:extLst>
        </xdr:cNvPr>
        <xdr:cNvSpPr>
          <a:spLocks noChangeShapeType="1"/>
        </xdr:cNvSpPr>
      </xdr:nvSpPr>
      <xdr:spPr bwMode="auto">
        <a:xfrm>
          <a:off x="1133475" y="1952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7</xdr:row>
      <xdr:rowOff>0</xdr:rowOff>
    </xdr:from>
    <xdr:to>
      <xdr:col>0</xdr:col>
      <xdr:colOff>1133475</xdr:colOff>
      <xdr:row>7</xdr:row>
      <xdr:rowOff>0</xdr:rowOff>
    </xdr:to>
    <xdr:sp macro="" textlink="">
      <xdr:nvSpPr>
        <xdr:cNvPr id="1043" name="Line 23">
          <a:extLst>
            <a:ext uri="{FF2B5EF4-FFF2-40B4-BE49-F238E27FC236}">
              <a16:creationId xmlns:a16="http://schemas.microsoft.com/office/drawing/2014/main" id="{00000000-0008-0000-0400-000013040000}"/>
            </a:ext>
          </a:extLst>
        </xdr:cNvPr>
        <xdr:cNvSpPr>
          <a:spLocks noChangeShapeType="1"/>
        </xdr:cNvSpPr>
      </xdr:nvSpPr>
      <xdr:spPr bwMode="auto">
        <a:xfrm>
          <a:off x="1133475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7</xdr:row>
      <xdr:rowOff>0</xdr:rowOff>
    </xdr:from>
    <xdr:to>
      <xdr:col>0</xdr:col>
      <xdr:colOff>1133475</xdr:colOff>
      <xdr:row>7</xdr:row>
      <xdr:rowOff>0</xdr:rowOff>
    </xdr:to>
    <xdr:sp macro="" textlink="">
      <xdr:nvSpPr>
        <xdr:cNvPr id="1044" name="Line 24">
          <a:extLst>
            <a:ext uri="{FF2B5EF4-FFF2-40B4-BE49-F238E27FC236}">
              <a16:creationId xmlns:a16="http://schemas.microsoft.com/office/drawing/2014/main" id="{00000000-0008-0000-0400-000014040000}"/>
            </a:ext>
          </a:extLst>
        </xdr:cNvPr>
        <xdr:cNvSpPr>
          <a:spLocks noChangeShapeType="1"/>
        </xdr:cNvSpPr>
      </xdr:nvSpPr>
      <xdr:spPr bwMode="auto">
        <a:xfrm>
          <a:off x="1133475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7</xdr:row>
      <xdr:rowOff>0</xdr:rowOff>
    </xdr:from>
    <xdr:to>
      <xdr:col>0</xdr:col>
      <xdr:colOff>1133475</xdr:colOff>
      <xdr:row>7</xdr:row>
      <xdr:rowOff>0</xdr:rowOff>
    </xdr:to>
    <xdr:sp macro="" textlink="">
      <xdr:nvSpPr>
        <xdr:cNvPr id="1045" name="Line 25">
          <a:extLst>
            <a:ext uri="{FF2B5EF4-FFF2-40B4-BE49-F238E27FC236}">
              <a16:creationId xmlns:a16="http://schemas.microsoft.com/office/drawing/2014/main" id="{00000000-0008-0000-0400-000015040000}"/>
            </a:ext>
          </a:extLst>
        </xdr:cNvPr>
        <xdr:cNvSpPr>
          <a:spLocks noChangeShapeType="1"/>
        </xdr:cNvSpPr>
      </xdr:nvSpPr>
      <xdr:spPr bwMode="auto">
        <a:xfrm>
          <a:off x="1133475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7</xdr:row>
      <xdr:rowOff>0</xdr:rowOff>
    </xdr:from>
    <xdr:to>
      <xdr:col>0</xdr:col>
      <xdr:colOff>1133475</xdr:colOff>
      <xdr:row>7</xdr:row>
      <xdr:rowOff>0</xdr:rowOff>
    </xdr:to>
    <xdr:sp macro="" textlink="">
      <xdr:nvSpPr>
        <xdr:cNvPr id="1046" name="Line 26">
          <a:extLst>
            <a:ext uri="{FF2B5EF4-FFF2-40B4-BE49-F238E27FC236}">
              <a16:creationId xmlns:a16="http://schemas.microsoft.com/office/drawing/2014/main" id="{00000000-0008-0000-0400-000016040000}"/>
            </a:ext>
          </a:extLst>
        </xdr:cNvPr>
        <xdr:cNvSpPr>
          <a:spLocks noChangeShapeType="1"/>
        </xdr:cNvSpPr>
      </xdr:nvSpPr>
      <xdr:spPr bwMode="auto">
        <a:xfrm>
          <a:off x="1133475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7</xdr:row>
      <xdr:rowOff>0</xdr:rowOff>
    </xdr:from>
    <xdr:to>
      <xdr:col>0</xdr:col>
      <xdr:colOff>1133475</xdr:colOff>
      <xdr:row>7</xdr:row>
      <xdr:rowOff>0</xdr:rowOff>
    </xdr:to>
    <xdr:sp macro="" textlink="">
      <xdr:nvSpPr>
        <xdr:cNvPr id="1047" name="Line 27">
          <a:extLst>
            <a:ext uri="{FF2B5EF4-FFF2-40B4-BE49-F238E27FC236}">
              <a16:creationId xmlns:a16="http://schemas.microsoft.com/office/drawing/2014/main" id="{00000000-0008-0000-0400-000017040000}"/>
            </a:ext>
          </a:extLst>
        </xdr:cNvPr>
        <xdr:cNvSpPr>
          <a:spLocks noChangeShapeType="1"/>
        </xdr:cNvSpPr>
      </xdr:nvSpPr>
      <xdr:spPr bwMode="auto">
        <a:xfrm>
          <a:off x="1133475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7</xdr:row>
      <xdr:rowOff>0</xdr:rowOff>
    </xdr:from>
    <xdr:to>
      <xdr:col>0</xdr:col>
      <xdr:colOff>1133475</xdr:colOff>
      <xdr:row>7</xdr:row>
      <xdr:rowOff>0</xdr:rowOff>
    </xdr:to>
    <xdr:sp macro="" textlink="">
      <xdr:nvSpPr>
        <xdr:cNvPr id="1048" name="Line 28">
          <a:extLst>
            <a:ext uri="{FF2B5EF4-FFF2-40B4-BE49-F238E27FC236}">
              <a16:creationId xmlns:a16="http://schemas.microsoft.com/office/drawing/2014/main" id="{00000000-0008-0000-0400-000018040000}"/>
            </a:ext>
          </a:extLst>
        </xdr:cNvPr>
        <xdr:cNvSpPr>
          <a:spLocks noChangeShapeType="1"/>
        </xdr:cNvSpPr>
      </xdr:nvSpPr>
      <xdr:spPr bwMode="auto">
        <a:xfrm>
          <a:off x="1133475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7</xdr:row>
      <xdr:rowOff>0</xdr:rowOff>
    </xdr:from>
    <xdr:to>
      <xdr:col>0</xdr:col>
      <xdr:colOff>1133475</xdr:colOff>
      <xdr:row>7</xdr:row>
      <xdr:rowOff>0</xdr:rowOff>
    </xdr:to>
    <xdr:sp macro="" textlink="">
      <xdr:nvSpPr>
        <xdr:cNvPr id="1049" name="Line 29">
          <a:extLst>
            <a:ext uri="{FF2B5EF4-FFF2-40B4-BE49-F238E27FC236}">
              <a16:creationId xmlns:a16="http://schemas.microsoft.com/office/drawing/2014/main" id="{00000000-0008-0000-0400-000019040000}"/>
            </a:ext>
          </a:extLst>
        </xdr:cNvPr>
        <xdr:cNvSpPr>
          <a:spLocks noChangeShapeType="1"/>
        </xdr:cNvSpPr>
      </xdr:nvSpPr>
      <xdr:spPr bwMode="auto">
        <a:xfrm>
          <a:off x="1133475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7</xdr:row>
      <xdr:rowOff>0</xdr:rowOff>
    </xdr:from>
    <xdr:to>
      <xdr:col>0</xdr:col>
      <xdr:colOff>1133475</xdr:colOff>
      <xdr:row>7</xdr:row>
      <xdr:rowOff>0</xdr:rowOff>
    </xdr:to>
    <xdr:sp macro="" textlink="">
      <xdr:nvSpPr>
        <xdr:cNvPr id="1050" name="Line 30">
          <a:extLst>
            <a:ext uri="{FF2B5EF4-FFF2-40B4-BE49-F238E27FC236}">
              <a16:creationId xmlns:a16="http://schemas.microsoft.com/office/drawing/2014/main" id="{00000000-0008-0000-0400-00001A040000}"/>
            </a:ext>
          </a:extLst>
        </xdr:cNvPr>
        <xdr:cNvSpPr>
          <a:spLocks noChangeShapeType="1"/>
        </xdr:cNvSpPr>
      </xdr:nvSpPr>
      <xdr:spPr bwMode="auto">
        <a:xfrm>
          <a:off x="1133475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7</xdr:row>
      <xdr:rowOff>9525</xdr:rowOff>
    </xdr:from>
    <xdr:to>
      <xdr:col>0</xdr:col>
      <xdr:colOff>1133475</xdr:colOff>
      <xdr:row>7</xdr:row>
      <xdr:rowOff>9525</xdr:rowOff>
    </xdr:to>
    <xdr:sp macro="" textlink="">
      <xdr:nvSpPr>
        <xdr:cNvPr id="1051" name="Line 31">
          <a:extLst>
            <a:ext uri="{FF2B5EF4-FFF2-40B4-BE49-F238E27FC236}">
              <a16:creationId xmlns:a16="http://schemas.microsoft.com/office/drawing/2014/main" id="{00000000-0008-0000-0400-00001B040000}"/>
            </a:ext>
          </a:extLst>
        </xdr:cNvPr>
        <xdr:cNvSpPr>
          <a:spLocks noChangeShapeType="1"/>
        </xdr:cNvSpPr>
      </xdr:nvSpPr>
      <xdr:spPr bwMode="auto">
        <a:xfrm>
          <a:off x="1133475" y="2276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7</xdr:row>
      <xdr:rowOff>9525</xdr:rowOff>
    </xdr:from>
    <xdr:to>
      <xdr:col>0</xdr:col>
      <xdr:colOff>1133475</xdr:colOff>
      <xdr:row>7</xdr:row>
      <xdr:rowOff>9525</xdr:rowOff>
    </xdr:to>
    <xdr:sp macro="" textlink="">
      <xdr:nvSpPr>
        <xdr:cNvPr id="1052" name="Line 32">
          <a:extLst>
            <a:ext uri="{FF2B5EF4-FFF2-40B4-BE49-F238E27FC236}">
              <a16:creationId xmlns:a16="http://schemas.microsoft.com/office/drawing/2014/main" id="{00000000-0008-0000-0400-00001C040000}"/>
            </a:ext>
          </a:extLst>
        </xdr:cNvPr>
        <xdr:cNvSpPr>
          <a:spLocks noChangeShapeType="1"/>
        </xdr:cNvSpPr>
      </xdr:nvSpPr>
      <xdr:spPr bwMode="auto">
        <a:xfrm>
          <a:off x="1133475" y="2276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8</xdr:row>
      <xdr:rowOff>0</xdr:rowOff>
    </xdr:from>
    <xdr:to>
      <xdr:col>0</xdr:col>
      <xdr:colOff>1133475</xdr:colOff>
      <xdr:row>8</xdr:row>
      <xdr:rowOff>0</xdr:rowOff>
    </xdr:to>
    <xdr:sp macro="" textlink="">
      <xdr:nvSpPr>
        <xdr:cNvPr id="1053" name="Line 33">
          <a:extLst>
            <a:ext uri="{FF2B5EF4-FFF2-40B4-BE49-F238E27FC236}">
              <a16:creationId xmlns:a16="http://schemas.microsoft.com/office/drawing/2014/main" id="{00000000-0008-0000-0400-00001D040000}"/>
            </a:ext>
          </a:extLst>
        </xdr:cNvPr>
        <xdr:cNvSpPr>
          <a:spLocks noChangeShapeType="1"/>
        </xdr:cNvSpPr>
      </xdr:nvSpPr>
      <xdr:spPr bwMode="auto">
        <a:xfrm>
          <a:off x="1133475" y="259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8</xdr:row>
      <xdr:rowOff>0</xdr:rowOff>
    </xdr:from>
    <xdr:to>
      <xdr:col>0</xdr:col>
      <xdr:colOff>1133475</xdr:colOff>
      <xdr:row>8</xdr:row>
      <xdr:rowOff>0</xdr:rowOff>
    </xdr:to>
    <xdr:sp macro="" textlink="">
      <xdr:nvSpPr>
        <xdr:cNvPr id="1054" name="Line 34">
          <a:extLst>
            <a:ext uri="{FF2B5EF4-FFF2-40B4-BE49-F238E27FC236}">
              <a16:creationId xmlns:a16="http://schemas.microsoft.com/office/drawing/2014/main" id="{00000000-0008-0000-0400-00001E040000}"/>
            </a:ext>
          </a:extLst>
        </xdr:cNvPr>
        <xdr:cNvSpPr>
          <a:spLocks noChangeShapeType="1"/>
        </xdr:cNvSpPr>
      </xdr:nvSpPr>
      <xdr:spPr bwMode="auto">
        <a:xfrm>
          <a:off x="1133475" y="259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8</xdr:row>
      <xdr:rowOff>0</xdr:rowOff>
    </xdr:from>
    <xdr:to>
      <xdr:col>0</xdr:col>
      <xdr:colOff>1133475</xdr:colOff>
      <xdr:row>8</xdr:row>
      <xdr:rowOff>0</xdr:rowOff>
    </xdr:to>
    <xdr:sp macro="" textlink="">
      <xdr:nvSpPr>
        <xdr:cNvPr id="1055" name="Line 35">
          <a:extLst>
            <a:ext uri="{FF2B5EF4-FFF2-40B4-BE49-F238E27FC236}">
              <a16:creationId xmlns:a16="http://schemas.microsoft.com/office/drawing/2014/main" id="{00000000-0008-0000-0400-00001F040000}"/>
            </a:ext>
          </a:extLst>
        </xdr:cNvPr>
        <xdr:cNvSpPr>
          <a:spLocks noChangeShapeType="1"/>
        </xdr:cNvSpPr>
      </xdr:nvSpPr>
      <xdr:spPr bwMode="auto">
        <a:xfrm>
          <a:off x="1133475" y="259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8</xdr:row>
      <xdr:rowOff>0</xdr:rowOff>
    </xdr:from>
    <xdr:to>
      <xdr:col>0</xdr:col>
      <xdr:colOff>1133475</xdr:colOff>
      <xdr:row>8</xdr:row>
      <xdr:rowOff>0</xdr:rowOff>
    </xdr:to>
    <xdr:sp macro="" textlink="">
      <xdr:nvSpPr>
        <xdr:cNvPr id="1056" name="Line 36">
          <a:extLst>
            <a:ext uri="{FF2B5EF4-FFF2-40B4-BE49-F238E27FC236}">
              <a16:creationId xmlns:a16="http://schemas.microsoft.com/office/drawing/2014/main" id="{00000000-0008-0000-0400-000020040000}"/>
            </a:ext>
          </a:extLst>
        </xdr:cNvPr>
        <xdr:cNvSpPr>
          <a:spLocks noChangeShapeType="1"/>
        </xdr:cNvSpPr>
      </xdr:nvSpPr>
      <xdr:spPr bwMode="auto">
        <a:xfrm>
          <a:off x="1133475" y="259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8</xdr:row>
      <xdr:rowOff>0</xdr:rowOff>
    </xdr:from>
    <xdr:to>
      <xdr:col>0</xdr:col>
      <xdr:colOff>1133475</xdr:colOff>
      <xdr:row>8</xdr:row>
      <xdr:rowOff>0</xdr:rowOff>
    </xdr:to>
    <xdr:sp macro="" textlink="">
      <xdr:nvSpPr>
        <xdr:cNvPr id="1057" name="Line 37">
          <a:extLst>
            <a:ext uri="{FF2B5EF4-FFF2-40B4-BE49-F238E27FC236}">
              <a16:creationId xmlns:a16="http://schemas.microsoft.com/office/drawing/2014/main" id="{00000000-0008-0000-0400-000021040000}"/>
            </a:ext>
          </a:extLst>
        </xdr:cNvPr>
        <xdr:cNvSpPr>
          <a:spLocks noChangeShapeType="1"/>
        </xdr:cNvSpPr>
      </xdr:nvSpPr>
      <xdr:spPr bwMode="auto">
        <a:xfrm>
          <a:off x="1133475" y="259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8</xdr:row>
      <xdr:rowOff>0</xdr:rowOff>
    </xdr:from>
    <xdr:to>
      <xdr:col>0</xdr:col>
      <xdr:colOff>1133475</xdr:colOff>
      <xdr:row>8</xdr:row>
      <xdr:rowOff>0</xdr:rowOff>
    </xdr:to>
    <xdr:sp macro="" textlink="">
      <xdr:nvSpPr>
        <xdr:cNvPr id="1058" name="Line 38">
          <a:extLst>
            <a:ext uri="{FF2B5EF4-FFF2-40B4-BE49-F238E27FC236}">
              <a16:creationId xmlns:a16="http://schemas.microsoft.com/office/drawing/2014/main" id="{00000000-0008-0000-0400-000022040000}"/>
            </a:ext>
          </a:extLst>
        </xdr:cNvPr>
        <xdr:cNvSpPr>
          <a:spLocks noChangeShapeType="1"/>
        </xdr:cNvSpPr>
      </xdr:nvSpPr>
      <xdr:spPr bwMode="auto">
        <a:xfrm>
          <a:off x="1133475" y="259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8</xdr:row>
      <xdr:rowOff>0</xdr:rowOff>
    </xdr:from>
    <xdr:to>
      <xdr:col>0</xdr:col>
      <xdr:colOff>1133475</xdr:colOff>
      <xdr:row>8</xdr:row>
      <xdr:rowOff>0</xdr:rowOff>
    </xdr:to>
    <xdr:sp macro="" textlink="">
      <xdr:nvSpPr>
        <xdr:cNvPr id="1059" name="Line 39">
          <a:extLst>
            <a:ext uri="{FF2B5EF4-FFF2-40B4-BE49-F238E27FC236}">
              <a16:creationId xmlns:a16="http://schemas.microsoft.com/office/drawing/2014/main" id="{00000000-0008-0000-0400-000023040000}"/>
            </a:ext>
          </a:extLst>
        </xdr:cNvPr>
        <xdr:cNvSpPr>
          <a:spLocks noChangeShapeType="1"/>
        </xdr:cNvSpPr>
      </xdr:nvSpPr>
      <xdr:spPr bwMode="auto">
        <a:xfrm>
          <a:off x="1133475" y="259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8</xdr:row>
      <xdr:rowOff>0</xdr:rowOff>
    </xdr:from>
    <xdr:to>
      <xdr:col>0</xdr:col>
      <xdr:colOff>1133475</xdr:colOff>
      <xdr:row>8</xdr:row>
      <xdr:rowOff>0</xdr:rowOff>
    </xdr:to>
    <xdr:sp macro="" textlink="">
      <xdr:nvSpPr>
        <xdr:cNvPr id="1060" name="Line 40">
          <a:extLst>
            <a:ext uri="{FF2B5EF4-FFF2-40B4-BE49-F238E27FC236}">
              <a16:creationId xmlns:a16="http://schemas.microsoft.com/office/drawing/2014/main" id="{00000000-0008-0000-0400-000024040000}"/>
            </a:ext>
          </a:extLst>
        </xdr:cNvPr>
        <xdr:cNvSpPr>
          <a:spLocks noChangeShapeType="1"/>
        </xdr:cNvSpPr>
      </xdr:nvSpPr>
      <xdr:spPr bwMode="auto">
        <a:xfrm>
          <a:off x="1133475" y="259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8</xdr:row>
      <xdr:rowOff>9525</xdr:rowOff>
    </xdr:from>
    <xdr:to>
      <xdr:col>0</xdr:col>
      <xdr:colOff>1133475</xdr:colOff>
      <xdr:row>8</xdr:row>
      <xdr:rowOff>9525</xdr:rowOff>
    </xdr:to>
    <xdr:sp macro="" textlink="">
      <xdr:nvSpPr>
        <xdr:cNvPr id="1061" name="Line 41">
          <a:extLst>
            <a:ext uri="{FF2B5EF4-FFF2-40B4-BE49-F238E27FC236}">
              <a16:creationId xmlns:a16="http://schemas.microsoft.com/office/drawing/2014/main" id="{00000000-0008-0000-0400-000025040000}"/>
            </a:ext>
          </a:extLst>
        </xdr:cNvPr>
        <xdr:cNvSpPr>
          <a:spLocks noChangeShapeType="1"/>
        </xdr:cNvSpPr>
      </xdr:nvSpPr>
      <xdr:spPr bwMode="auto">
        <a:xfrm>
          <a:off x="1133475" y="260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8</xdr:row>
      <xdr:rowOff>9525</xdr:rowOff>
    </xdr:from>
    <xdr:to>
      <xdr:col>0</xdr:col>
      <xdr:colOff>1133475</xdr:colOff>
      <xdr:row>8</xdr:row>
      <xdr:rowOff>9525</xdr:rowOff>
    </xdr:to>
    <xdr:sp macro="" textlink="">
      <xdr:nvSpPr>
        <xdr:cNvPr id="1062" name="Line 42">
          <a:extLst>
            <a:ext uri="{FF2B5EF4-FFF2-40B4-BE49-F238E27FC236}">
              <a16:creationId xmlns:a16="http://schemas.microsoft.com/office/drawing/2014/main" id="{00000000-0008-0000-0400-000026040000}"/>
            </a:ext>
          </a:extLst>
        </xdr:cNvPr>
        <xdr:cNvSpPr>
          <a:spLocks noChangeShapeType="1"/>
        </xdr:cNvSpPr>
      </xdr:nvSpPr>
      <xdr:spPr bwMode="auto">
        <a:xfrm>
          <a:off x="1133475" y="260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9</xdr:row>
      <xdr:rowOff>0</xdr:rowOff>
    </xdr:from>
    <xdr:to>
      <xdr:col>0</xdr:col>
      <xdr:colOff>1133475</xdr:colOff>
      <xdr:row>9</xdr:row>
      <xdr:rowOff>0</xdr:rowOff>
    </xdr:to>
    <xdr:sp macro="" textlink="">
      <xdr:nvSpPr>
        <xdr:cNvPr id="1063" name="Line 43">
          <a:extLst>
            <a:ext uri="{FF2B5EF4-FFF2-40B4-BE49-F238E27FC236}">
              <a16:creationId xmlns:a16="http://schemas.microsoft.com/office/drawing/2014/main" id="{00000000-0008-0000-0400-000027040000}"/>
            </a:ext>
          </a:extLst>
        </xdr:cNvPr>
        <xdr:cNvSpPr>
          <a:spLocks noChangeShapeType="1"/>
        </xdr:cNvSpPr>
      </xdr:nvSpPr>
      <xdr:spPr bwMode="auto">
        <a:xfrm>
          <a:off x="1133475" y="2914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9</xdr:row>
      <xdr:rowOff>0</xdr:rowOff>
    </xdr:from>
    <xdr:to>
      <xdr:col>0</xdr:col>
      <xdr:colOff>1133475</xdr:colOff>
      <xdr:row>9</xdr:row>
      <xdr:rowOff>0</xdr:rowOff>
    </xdr:to>
    <xdr:sp macro="" textlink="">
      <xdr:nvSpPr>
        <xdr:cNvPr id="1064" name="Line 44">
          <a:extLst>
            <a:ext uri="{FF2B5EF4-FFF2-40B4-BE49-F238E27FC236}">
              <a16:creationId xmlns:a16="http://schemas.microsoft.com/office/drawing/2014/main" id="{00000000-0008-0000-0400-000028040000}"/>
            </a:ext>
          </a:extLst>
        </xdr:cNvPr>
        <xdr:cNvSpPr>
          <a:spLocks noChangeShapeType="1"/>
        </xdr:cNvSpPr>
      </xdr:nvSpPr>
      <xdr:spPr bwMode="auto">
        <a:xfrm>
          <a:off x="1133475" y="2914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9</xdr:row>
      <xdr:rowOff>0</xdr:rowOff>
    </xdr:from>
    <xdr:to>
      <xdr:col>0</xdr:col>
      <xdr:colOff>1133475</xdr:colOff>
      <xdr:row>9</xdr:row>
      <xdr:rowOff>0</xdr:rowOff>
    </xdr:to>
    <xdr:sp macro="" textlink="">
      <xdr:nvSpPr>
        <xdr:cNvPr id="1065" name="Line 45">
          <a:extLst>
            <a:ext uri="{FF2B5EF4-FFF2-40B4-BE49-F238E27FC236}">
              <a16:creationId xmlns:a16="http://schemas.microsoft.com/office/drawing/2014/main" id="{00000000-0008-0000-0400-000029040000}"/>
            </a:ext>
          </a:extLst>
        </xdr:cNvPr>
        <xdr:cNvSpPr>
          <a:spLocks noChangeShapeType="1"/>
        </xdr:cNvSpPr>
      </xdr:nvSpPr>
      <xdr:spPr bwMode="auto">
        <a:xfrm>
          <a:off x="1133475" y="2914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9</xdr:row>
      <xdr:rowOff>0</xdr:rowOff>
    </xdr:from>
    <xdr:to>
      <xdr:col>0</xdr:col>
      <xdr:colOff>1133475</xdr:colOff>
      <xdr:row>9</xdr:row>
      <xdr:rowOff>0</xdr:rowOff>
    </xdr:to>
    <xdr:sp macro="" textlink="">
      <xdr:nvSpPr>
        <xdr:cNvPr id="1066" name="Line 46">
          <a:extLst>
            <a:ext uri="{FF2B5EF4-FFF2-40B4-BE49-F238E27FC236}">
              <a16:creationId xmlns:a16="http://schemas.microsoft.com/office/drawing/2014/main" id="{00000000-0008-0000-0400-00002A040000}"/>
            </a:ext>
          </a:extLst>
        </xdr:cNvPr>
        <xdr:cNvSpPr>
          <a:spLocks noChangeShapeType="1"/>
        </xdr:cNvSpPr>
      </xdr:nvSpPr>
      <xdr:spPr bwMode="auto">
        <a:xfrm>
          <a:off x="1133475" y="2914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9</xdr:row>
      <xdr:rowOff>0</xdr:rowOff>
    </xdr:from>
    <xdr:to>
      <xdr:col>0</xdr:col>
      <xdr:colOff>1133475</xdr:colOff>
      <xdr:row>9</xdr:row>
      <xdr:rowOff>0</xdr:rowOff>
    </xdr:to>
    <xdr:sp macro="" textlink="">
      <xdr:nvSpPr>
        <xdr:cNvPr id="1067" name="Line 47">
          <a:extLst>
            <a:ext uri="{FF2B5EF4-FFF2-40B4-BE49-F238E27FC236}">
              <a16:creationId xmlns:a16="http://schemas.microsoft.com/office/drawing/2014/main" id="{00000000-0008-0000-0400-00002B040000}"/>
            </a:ext>
          </a:extLst>
        </xdr:cNvPr>
        <xdr:cNvSpPr>
          <a:spLocks noChangeShapeType="1"/>
        </xdr:cNvSpPr>
      </xdr:nvSpPr>
      <xdr:spPr bwMode="auto">
        <a:xfrm>
          <a:off x="1133475" y="2914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9</xdr:row>
      <xdr:rowOff>0</xdr:rowOff>
    </xdr:from>
    <xdr:to>
      <xdr:col>0</xdr:col>
      <xdr:colOff>1133475</xdr:colOff>
      <xdr:row>9</xdr:row>
      <xdr:rowOff>0</xdr:rowOff>
    </xdr:to>
    <xdr:sp macro="" textlink="">
      <xdr:nvSpPr>
        <xdr:cNvPr id="1068" name="Line 48">
          <a:extLst>
            <a:ext uri="{FF2B5EF4-FFF2-40B4-BE49-F238E27FC236}">
              <a16:creationId xmlns:a16="http://schemas.microsoft.com/office/drawing/2014/main" id="{00000000-0008-0000-0400-00002C040000}"/>
            </a:ext>
          </a:extLst>
        </xdr:cNvPr>
        <xdr:cNvSpPr>
          <a:spLocks noChangeShapeType="1"/>
        </xdr:cNvSpPr>
      </xdr:nvSpPr>
      <xdr:spPr bwMode="auto">
        <a:xfrm>
          <a:off x="1133475" y="2914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9</xdr:row>
      <xdr:rowOff>0</xdr:rowOff>
    </xdr:from>
    <xdr:to>
      <xdr:col>0</xdr:col>
      <xdr:colOff>1133475</xdr:colOff>
      <xdr:row>9</xdr:row>
      <xdr:rowOff>0</xdr:rowOff>
    </xdr:to>
    <xdr:sp macro="" textlink="">
      <xdr:nvSpPr>
        <xdr:cNvPr id="1069" name="Line 49">
          <a:extLst>
            <a:ext uri="{FF2B5EF4-FFF2-40B4-BE49-F238E27FC236}">
              <a16:creationId xmlns:a16="http://schemas.microsoft.com/office/drawing/2014/main" id="{00000000-0008-0000-0400-00002D040000}"/>
            </a:ext>
          </a:extLst>
        </xdr:cNvPr>
        <xdr:cNvSpPr>
          <a:spLocks noChangeShapeType="1"/>
        </xdr:cNvSpPr>
      </xdr:nvSpPr>
      <xdr:spPr bwMode="auto">
        <a:xfrm>
          <a:off x="1133475" y="2914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9</xdr:row>
      <xdr:rowOff>0</xdr:rowOff>
    </xdr:from>
    <xdr:to>
      <xdr:col>0</xdr:col>
      <xdr:colOff>1133475</xdr:colOff>
      <xdr:row>9</xdr:row>
      <xdr:rowOff>0</xdr:rowOff>
    </xdr:to>
    <xdr:sp macro="" textlink="">
      <xdr:nvSpPr>
        <xdr:cNvPr id="1070" name="Line 50">
          <a:extLst>
            <a:ext uri="{FF2B5EF4-FFF2-40B4-BE49-F238E27FC236}">
              <a16:creationId xmlns:a16="http://schemas.microsoft.com/office/drawing/2014/main" id="{00000000-0008-0000-0400-00002E040000}"/>
            </a:ext>
          </a:extLst>
        </xdr:cNvPr>
        <xdr:cNvSpPr>
          <a:spLocks noChangeShapeType="1"/>
        </xdr:cNvSpPr>
      </xdr:nvSpPr>
      <xdr:spPr bwMode="auto">
        <a:xfrm>
          <a:off x="1133475" y="2914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9</xdr:row>
      <xdr:rowOff>9525</xdr:rowOff>
    </xdr:from>
    <xdr:to>
      <xdr:col>0</xdr:col>
      <xdr:colOff>1133475</xdr:colOff>
      <xdr:row>9</xdr:row>
      <xdr:rowOff>9525</xdr:rowOff>
    </xdr:to>
    <xdr:sp macro="" textlink="">
      <xdr:nvSpPr>
        <xdr:cNvPr id="1071" name="Line 51">
          <a:extLst>
            <a:ext uri="{FF2B5EF4-FFF2-40B4-BE49-F238E27FC236}">
              <a16:creationId xmlns:a16="http://schemas.microsoft.com/office/drawing/2014/main" id="{00000000-0008-0000-0400-00002F040000}"/>
            </a:ext>
          </a:extLst>
        </xdr:cNvPr>
        <xdr:cNvSpPr>
          <a:spLocks noChangeShapeType="1"/>
        </xdr:cNvSpPr>
      </xdr:nvSpPr>
      <xdr:spPr bwMode="auto">
        <a:xfrm>
          <a:off x="1133475" y="2924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9</xdr:row>
      <xdr:rowOff>9525</xdr:rowOff>
    </xdr:from>
    <xdr:to>
      <xdr:col>0</xdr:col>
      <xdr:colOff>1133475</xdr:colOff>
      <xdr:row>9</xdr:row>
      <xdr:rowOff>9525</xdr:rowOff>
    </xdr:to>
    <xdr:sp macro="" textlink="">
      <xdr:nvSpPr>
        <xdr:cNvPr id="1072" name="Line 52">
          <a:extLst>
            <a:ext uri="{FF2B5EF4-FFF2-40B4-BE49-F238E27FC236}">
              <a16:creationId xmlns:a16="http://schemas.microsoft.com/office/drawing/2014/main" id="{00000000-0008-0000-0400-000030040000}"/>
            </a:ext>
          </a:extLst>
        </xdr:cNvPr>
        <xdr:cNvSpPr>
          <a:spLocks noChangeShapeType="1"/>
        </xdr:cNvSpPr>
      </xdr:nvSpPr>
      <xdr:spPr bwMode="auto">
        <a:xfrm>
          <a:off x="1133475" y="2924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10</xdr:row>
      <xdr:rowOff>0</xdr:rowOff>
    </xdr:from>
    <xdr:to>
      <xdr:col>0</xdr:col>
      <xdr:colOff>1133475</xdr:colOff>
      <xdr:row>10</xdr:row>
      <xdr:rowOff>0</xdr:rowOff>
    </xdr:to>
    <xdr:sp macro="" textlink="">
      <xdr:nvSpPr>
        <xdr:cNvPr id="1073" name="Line 53">
          <a:extLst>
            <a:ext uri="{FF2B5EF4-FFF2-40B4-BE49-F238E27FC236}">
              <a16:creationId xmlns:a16="http://schemas.microsoft.com/office/drawing/2014/main" id="{00000000-0008-0000-0400-000031040000}"/>
            </a:ext>
          </a:extLst>
        </xdr:cNvPr>
        <xdr:cNvSpPr>
          <a:spLocks noChangeShapeType="1"/>
        </xdr:cNvSpPr>
      </xdr:nvSpPr>
      <xdr:spPr bwMode="auto">
        <a:xfrm>
          <a:off x="1133475" y="323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10</xdr:row>
      <xdr:rowOff>0</xdr:rowOff>
    </xdr:from>
    <xdr:to>
      <xdr:col>0</xdr:col>
      <xdr:colOff>1133475</xdr:colOff>
      <xdr:row>10</xdr:row>
      <xdr:rowOff>0</xdr:rowOff>
    </xdr:to>
    <xdr:sp macro="" textlink="">
      <xdr:nvSpPr>
        <xdr:cNvPr id="1074" name="Line 54">
          <a:extLst>
            <a:ext uri="{FF2B5EF4-FFF2-40B4-BE49-F238E27FC236}">
              <a16:creationId xmlns:a16="http://schemas.microsoft.com/office/drawing/2014/main" id="{00000000-0008-0000-0400-000032040000}"/>
            </a:ext>
          </a:extLst>
        </xdr:cNvPr>
        <xdr:cNvSpPr>
          <a:spLocks noChangeShapeType="1"/>
        </xdr:cNvSpPr>
      </xdr:nvSpPr>
      <xdr:spPr bwMode="auto">
        <a:xfrm>
          <a:off x="1133475" y="323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10</xdr:row>
      <xdr:rowOff>0</xdr:rowOff>
    </xdr:from>
    <xdr:to>
      <xdr:col>0</xdr:col>
      <xdr:colOff>1133475</xdr:colOff>
      <xdr:row>10</xdr:row>
      <xdr:rowOff>0</xdr:rowOff>
    </xdr:to>
    <xdr:sp macro="" textlink="">
      <xdr:nvSpPr>
        <xdr:cNvPr id="1075" name="Line 55">
          <a:extLst>
            <a:ext uri="{FF2B5EF4-FFF2-40B4-BE49-F238E27FC236}">
              <a16:creationId xmlns:a16="http://schemas.microsoft.com/office/drawing/2014/main" id="{00000000-0008-0000-0400-000033040000}"/>
            </a:ext>
          </a:extLst>
        </xdr:cNvPr>
        <xdr:cNvSpPr>
          <a:spLocks noChangeShapeType="1"/>
        </xdr:cNvSpPr>
      </xdr:nvSpPr>
      <xdr:spPr bwMode="auto">
        <a:xfrm>
          <a:off x="1133475" y="323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10</xdr:row>
      <xdr:rowOff>0</xdr:rowOff>
    </xdr:from>
    <xdr:to>
      <xdr:col>0</xdr:col>
      <xdr:colOff>1133475</xdr:colOff>
      <xdr:row>10</xdr:row>
      <xdr:rowOff>0</xdr:rowOff>
    </xdr:to>
    <xdr:sp macro="" textlink="">
      <xdr:nvSpPr>
        <xdr:cNvPr id="1076" name="Line 56">
          <a:extLst>
            <a:ext uri="{FF2B5EF4-FFF2-40B4-BE49-F238E27FC236}">
              <a16:creationId xmlns:a16="http://schemas.microsoft.com/office/drawing/2014/main" id="{00000000-0008-0000-0400-000034040000}"/>
            </a:ext>
          </a:extLst>
        </xdr:cNvPr>
        <xdr:cNvSpPr>
          <a:spLocks noChangeShapeType="1"/>
        </xdr:cNvSpPr>
      </xdr:nvSpPr>
      <xdr:spPr bwMode="auto">
        <a:xfrm>
          <a:off x="1133475" y="323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10</xdr:row>
      <xdr:rowOff>0</xdr:rowOff>
    </xdr:from>
    <xdr:to>
      <xdr:col>0</xdr:col>
      <xdr:colOff>1133475</xdr:colOff>
      <xdr:row>10</xdr:row>
      <xdr:rowOff>0</xdr:rowOff>
    </xdr:to>
    <xdr:sp macro="" textlink="">
      <xdr:nvSpPr>
        <xdr:cNvPr id="1077" name="Line 57">
          <a:extLst>
            <a:ext uri="{FF2B5EF4-FFF2-40B4-BE49-F238E27FC236}">
              <a16:creationId xmlns:a16="http://schemas.microsoft.com/office/drawing/2014/main" id="{00000000-0008-0000-0400-000035040000}"/>
            </a:ext>
          </a:extLst>
        </xdr:cNvPr>
        <xdr:cNvSpPr>
          <a:spLocks noChangeShapeType="1"/>
        </xdr:cNvSpPr>
      </xdr:nvSpPr>
      <xdr:spPr bwMode="auto">
        <a:xfrm>
          <a:off x="1133475" y="323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10</xdr:row>
      <xdr:rowOff>0</xdr:rowOff>
    </xdr:from>
    <xdr:to>
      <xdr:col>0</xdr:col>
      <xdr:colOff>1133475</xdr:colOff>
      <xdr:row>10</xdr:row>
      <xdr:rowOff>0</xdr:rowOff>
    </xdr:to>
    <xdr:sp macro="" textlink="">
      <xdr:nvSpPr>
        <xdr:cNvPr id="1078" name="Line 58">
          <a:extLst>
            <a:ext uri="{FF2B5EF4-FFF2-40B4-BE49-F238E27FC236}">
              <a16:creationId xmlns:a16="http://schemas.microsoft.com/office/drawing/2014/main" id="{00000000-0008-0000-0400-000036040000}"/>
            </a:ext>
          </a:extLst>
        </xdr:cNvPr>
        <xdr:cNvSpPr>
          <a:spLocks noChangeShapeType="1"/>
        </xdr:cNvSpPr>
      </xdr:nvSpPr>
      <xdr:spPr bwMode="auto">
        <a:xfrm>
          <a:off x="1133475" y="323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10</xdr:row>
      <xdr:rowOff>0</xdr:rowOff>
    </xdr:from>
    <xdr:to>
      <xdr:col>0</xdr:col>
      <xdr:colOff>1133475</xdr:colOff>
      <xdr:row>10</xdr:row>
      <xdr:rowOff>0</xdr:rowOff>
    </xdr:to>
    <xdr:sp macro="" textlink="">
      <xdr:nvSpPr>
        <xdr:cNvPr id="1079" name="Line 59">
          <a:extLst>
            <a:ext uri="{FF2B5EF4-FFF2-40B4-BE49-F238E27FC236}">
              <a16:creationId xmlns:a16="http://schemas.microsoft.com/office/drawing/2014/main" id="{00000000-0008-0000-0400-000037040000}"/>
            </a:ext>
          </a:extLst>
        </xdr:cNvPr>
        <xdr:cNvSpPr>
          <a:spLocks noChangeShapeType="1"/>
        </xdr:cNvSpPr>
      </xdr:nvSpPr>
      <xdr:spPr bwMode="auto">
        <a:xfrm>
          <a:off x="1133475" y="323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10</xdr:row>
      <xdr:rowOff>0</xdr:rowOff>
    </xdr:from>
    <xdr:to>
      <xdr:col>0</xdr:col>
      <xdr:colOff>1133475</xdr:colOff>
      <xdr:row>10</xdr:row>
      <xdr:rowOff>0</xdr:rowOff>
    </xdr:to>
    <xdr:sp macro="" textlink="">
      <xdr:nvSpPr>
        <xdr:cNvPr id="1080" name="Line 60">
          <a:extLst>
            <a:ext uri="{FF2B5EF4-FFF2-40B4-BE49-F238E27FC236}">
              <a16:creationId xmlns:a16="http://schemas.microsoft.com/office/drawing/2014/main" id="{00000000-0008-0000-0400-000038040000}"/>
            </a:ext>
          </a:extLst>
        </xdr:cNvPr>
        <xdr:cNvSpPr>
          <a:spLocks noChangeShapeType="1"/>
        </xdr:cNvSpPr>
      </xdr:nvSpPr>
      <xdr:spPr bwMode="auto">
        <a:xfrm>
          <a:off x="1133475" y="323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10</xdr:row>
      <xdr:rowOff>9525</xdr:rowOff>
    </xdr:from>
    <xdr:to>
      <xdr:col>0</xdr:col>
      <xdr:colOff>1133475</xdr:colOff>
      <xdr:row>10</xdr:row>
      <xdr:rowOff>9525</xdr:rowOff>
    </xdr:to>
    <xdr:sp macro="" textlink="">
      <xdr:nvSpPr>
        <xdr:cNvPr id="1081" name="Line 61">
          <a:extLst>
            <a:ext uri="{FF2B5EF4-FFF2-40B4-BE49-F238E27FC236}">
              <a16:creationId xmlns:a16="http://schemas.microsoft.com/office/drawing/2014/main" id="{00000000-0008-0000-0400-000039040000}"/>
            </a:ext>
          </a:extLst>
        </xdr:cNvPr>
        <xdr:cNvSpPr>
          <a:spLocks noChangeShapeType="1"/>
        </xdr:cNvSpPr>
      </xdr:nvSpPr>
      <xdr:spPr bwMode="auto">
        <a:xfrm>
          <a:off x="1133475" y="324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10</xdr:row>
      <xdr:rowOff>9525</xdr:rowOff>
    </xdr:from>
    <xdr:to>
      <xdr:col>0</xdr:col>
      <xdr:colOff>1133475</xdr:colOff>
      <xdr:row>10</xdr:row>
      <xdr:rowOff>9525</xdr:rowOff>
    </xdr:to>
    <xdr:sp macro="" textlink="">
      <xdr:nvSpPr>
        <xdr:cNvPr id="1082" name="Line 62">
          <a:extLst>
            <a:ext uri="{FF2B5EF4-FFF2-40B4-BE49-F238E27FC236}">
              <a16:creationId xmlns:a16="http://schemas.microsoft.com/office/drawing/2014/main" id="{00000000-0008-0000-0400-00003A040000}"/>
            </a:ext>
          </a:extLst>
        </xdr:cNvPr>
        <xdr:cNvSpPr>
          <a:spLocks noChangeShapeType="1"/>
        </xdr:cNvSpPr>
      </xdr:nvSpPr>
      <xdr:spPr bwMode="auto">
        <a:xfrm>
          <a:off x="1133475" y="324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11</xdr:row>
      <xdr:rowOff>0</xdr:rowOff>
    </xdr:from>
    <xdr:to>
      <xdr:col>0</xdr:col>
      <xdr:colOff>1133475</xdr:colOff>
      <xdr:row>11</xdr:row>
      <xdr:rowOff>0</xdr:rowOff>
    </xdr:to>
    <xdr:sp macro="" textlink="">
      <xdr:nvSpPr>
        <xdr:cNvPr id="1083" name="Line 63">
          <a:extLst>
            <a:ext uri="{FF2B5EF4-FFF2-40B4-BE49-F238E27FC236}">
              <a16:creationId xmlns:a16="http://schemas.microsoft.com/office/drawing/2014/main" id="{00000000-0008-0000-0400-00003B040000}"/>
            </a:ext>
          </a:extLst>
        </xdr:cNvPr>
        <xdr:cNvSpPr>
          <a:spLocks noChangeShapeType="1"/>
        </xdr:cNvSpPr>
      </xdr:nvSpPr>
      <xdr:spPr bwMode="auto">
        <a:xfrm>
          <a:off x="1133475" y="356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11</xdr:row>
      <xdr:rowOff>0</xdr:rowOff>
    </xdr:from>
    <xdr:to>
      <xdr:col>0</xdr:col>
      <xdr:colOff>1133475</xdr:colOff>
      <xdr:row>11</xdr:row>
      <xdr:rowOff>0</xdr:rowOff>
    </xdr:to>
    <xdr:sp macro="" textlink="">
      <xdr:nvSpPr>
        <xdr:cNvPr id="1084" name="Line 64">
          <a:extLst>
            <a:ext uri="{FF2B5EF4-FFF2-40B4-BE49-F238E27FC236}">
              <a16:creationId xmlns:a16="http://schemas.microsoft.com/office/drawing/2014/main" id="{00000000-0008-0000-0400-00003C040000}"/>
            </a:ext>
          </a:extLst>
        </xdr:cNvPr>
        <xdr:cNvSpPr>
          <a:spLocks noChangeShapeType="1"/>
        </xdr:cNvSpPr>
      </xdr:nvSpPr>
      <xdr:spPr bwMode="auto">
        <a:xfrm>
          <a:off x="1133475" y="356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11</xdr:row>
      <xdr:rowOff>0</xdr:rowOff>
    </xdr:from>
    <xdr:to>
      <xdr:col>0</xdr:col>
      <xdr:colOff>1133475</xdr:colOff>
      <xdr:row>11</xdr:row>
      <xdr:rowOff>0</xdr:rowOff>
    </xdr:to>
    <xdr:sp macro="" textlink="">
      <xdr:nvSpPr>
        <xdr:cNvPr id="1085" name="Line 65">
          <a:extLst>
            <a:ext uri="{FF2B5EF4-FFF2-40B4-BE49-F238E27FC236}">
              <a16:creationId xmlns:a16="http://schemas.microsoft.com/office/drawing/2014/main" id="{00000000-0008-0000-0400-00003D040000}"/>
            </a:ext>
          </a:extLst>
        </xdr:cNvPr>
        <xdr:cNvSpPr>
          <a:spLocks noChangeShapeType="1"/>
        </xdr:cNvSpPr>
      </xdr:nvSpPr>
      <xdr:spPr bwMode="auto">
        <a:xfrm>
          <a:off x="1133475" y="356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11</xdr:row>
      <xdr:rowOff>0</xdr:rowOff>
    </xdr:from>
    <xdr:to>
      <xdr:col>0</xdr:col>
      <xdr:colOff>1133475</xdr:colOff>
      <xdr:row>11</xdr:row>
      <xdr:rowOff>0</xdr:rowOff>
    </xdr:to>
    <xdr:sp macro="" textlink="">
      <xdr:nvSpPr>
        <xdr:cNvPr id="1086" name="Line 66">
          <a:extLst>
            <a:ext uri="{FF2B5EF4-FFF2-40B4-BE49-F238E27FC236}">
              <a16:creationId xmlns:a16="http://schemas.microsoft.com/office/drawing/2014/main" id="{00000000-0008-0000-0400-00003E040000}"/>
            </a:ext>
          </a:extLst>
        </xdr:cNvPr>
        <xdr:cNvSpPr>
          <a:spLocks noChangeShapeType="1"/>
        </xdr:cNvSpPr>
      </xdr:nvSpPr>
      <xdr:spPr bwMode="auto">
        <a:xfrm>
          <a:off x="1133475" y="356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11</xdr:row>
      <xdr:rowOff>0</xdr:rowOff>
    </xdr:from>
    <xdr:to>
      <xdr:col>0</xdr:col>
      <xdr:colOff>1133475</xdr:colOff>
      <xdr:row>11</xdr:row>
      <xdr:rowOff>0</xdr:rowOff>
    </xdr:to>
    <xdr:sp macro="" textlink="">
      <xdr:nvSpPr>
        <xdr:cNvPr id="1087" name="Line 67">
          <a:extLst>
            <a:ext uri="{FF2B5EF4-FFF2-40B4-BE49-F238E27FC236}">
              <a16:creationId xmlns:a16="http://schemas.microsoft.com/office/drawing/2014/main" id="{00000000-0008-0000-0400-00003F040000}"/>
            </a:ext>
          </a:extLst>
        </xdr:cNvPr>
        <xdr:cNvSpPr>
          <a:spLocks noChangeShapeType="1"/>
        </xdr:cNvSpPr>
      </xdr:nvSpPr>
      <xdr:spPr bwMode="auto">
        <a:xfrm>
          <a:off x="1133475" y="356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11</xdr:row>
      <xdr:rowOff>0</xdr:rowOff>
    </xdr:from>
    <xdr:to>
      <xdr:col>0</xdr:col>
      <xdr:colOff>1133475</xdr:colOff>
      <xdr:row>11</xdr:row>
      <xdr:rowOff>0</xdr:rowOff>
    </xdr:to>
    <xdr:sp macro="" textlink="">
      <xdr:nvSpPr>
        <xdr:cNvPr id="1088" name="Line 68">
          <a:extLst>
            <a:ext uri="{FF2B5EF4-FFF2-40B4-BE49-F238E27FC236}">
              <a16:creationId xmlns:a16="http://schemas.microsoft.com/office/drawing/2014/main" id="{00000000-0008-0000-0400-000040040000}"/>
            </a:ext>
          </a:extLst>
        </xdr:cNvPr>
        <xdr:cNvSpPr>
          <a:spLocks noChangeShapeType="1"/>
        </xdr:cNvSpPr>
      </xdr:nvSpPr>
      <xdr:spPr bwMode="auto">
        <a:xfrm>
          <a:off x="1133475" y="356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11</xdr:row>
      <xdr:rowOff>0</xdr:rowOff>
    </xdr:from>
    <xdr:to>
      <xdr:col>0</xdr:col>
      <xdr:colOff>1133475</xdr:colOff>
      <xdr:row>11</xdr:row>
      <xdr:rowOff>0</xdr:rowOff>
    </xdr:to>
    <xdr:sp macro="" textlink="">
      <xdr:nvSpPr>
        <xdr:cNvPr id="1089" name="Line 69">
          <a:extLst>
            <a:ext uri="{FF2B5EF4-FFF2-40B4-BE49-F238E27FC236}">
              <a16:creationId xmlns:a16="http://schemas.microsoft.com/office/drawing/2014/main" id="{00000000-0008-0000-0400-000041040000}"/>
            </a:ext>
          </a:extLst>
        </xdr:cNvPr>
        <xdr:cNvSpPr>
          <a:spLocks noChangeShapeType="1"/>
        </xdr:cNvSpPr>
      </xdr:nvSpPr>
      <xdr:spPr bwMode="auto">
        <a:xfrm>
          <a:off x="1133475" y="356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11</xdr:row>
      <xdr:rowOff>0</xdr:rowOff>
    </xdr:from>
    <xdr:to>
      <xdr:col>0</xdr:col>
      <xdr:colOff>1133475</xdr:colOff>
      <xdr:row>11</xdr:row>
      <xdr:rowOff>0</xdr:rowOff>
    </xdr:to>
    <xdr:sp macro="" textlink="">
      <xdr:nvSpPr>
        <xdr:cNvPr id="1090" name="Line 70">
          <a:extLst>
            <a:ext uri="{FF2B5EF4-FFF2-40B4-BE49-F238E27FC236}">
              <a16:creationId xmlns:a16="http://schemas.microsoft.com/office/drawing/2014/main" id="{00000000-0008-0000-0400-000042040000}"/>
            </a:ext>
          </a:extLst>
        </xdr:cNvPr>
        <xdr:cNvSpPr>
          <a:spLocks noChangeShapeType="1"/>
        </xdr:cNvSpPr>
      </xdr:nvSpPr>
      <xdr:spPr bwMode="auto">
        <a:xfrm>
          <a:off x="1133475" y="356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11</xdr:row>
      <xdr:rowOff>9525</xdr:rowOff>
    </xdr:from>
    <xdr:to>
      <xdr:col>0</xdr:col>
      <xdr:colOff>1133475</xdr:colOff>
      <xdr:row>11</xdr:row>
      <xdr:rowOff>9525</xdr:rowOff>
    </xdr:to>
    <xdr:sp macro="" textlink="">
      <xdr:nvSpPr>
        <xdr:cNvPr id="1091" name="Line 71">
          <a:extLst>
            <a:ext uri="{FF2B5EF4-FFF2-40B4-BE49-F238E27FC236}">
              <a16:creationId xmlns:a16="http://schemas.microsoft.com/office/drawing/2014/main" id="{00000000-0008-0000-0400-000043040000}"/>
            </a:ext>
          </a:extLst>
        </xdr:cNvPr>
        <xdr:cNvSpPr>
          <a:spLocks noChangeShapeType="1"/>
        </xdr:cNvSpPr>
      </xdr:nvSpPr>
      <xdr:spPr bwMode="auto">
        <a:xfrm>
          <a:off x="1133475" y="3571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11</xdr:row>
      <xdr:rowOff>9525</xdr:rowOff>
    </xdr:from>
    <xdr:to>
      <xdr:col>0</xdr:col>
      <xdr:colOff>1133475</xdr:colOff>
      <xdr:row>11</xdr:row>
      <xdr:rowOff>9525</xdr:rowOff>
    </xdr:to>
    <xdr:sp macro="" textlink="">
      <xdr:nvSpPr>
        <xdr:cNvPr id="1092" name="Line 72">
          <a:extLst>
            <a:ext uri="{FF2B5EF4-FFF2-40B4-BE49-F238E27FC236}">
              <a16:creationId xmlns:a16="http://schemas.microsoft.com/office/drawing/2014/main" id="{00000000-0008-0000-0400-000044040000}"/>
            </a:ext>
          </a:extLst>
        </xdr:cNvPr>
        <xdr:cNvSpPr>
          <a:spLocks noChangeShapeType="1"/>
        </xdr:cNvSpPr>
      </xdr:nvSpPr>
      <xdr:spPr bwMode="auto">
        <a:xfrm>
          <a:off x="1133475" y="3571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12</xdr:row>
      <xdr:rowOff>0</xdr:rowOff>
    </xdr:from>
    <xdr:to>
      <xdr:col>0</xdr:col>
      <xdr:colOff>1133475</xdr:colOff>
      <xdr:row>12</xdr:row>
      <xdr:rowOff>0</xdr:rowOff>
    </xdr:to>
    <xdr:sp macro="" textlink="">
      <xdr:nvSpPr>
        <xdr:cNvPr id="1093" name="Line 73">
          <a:extLst>
            <a:ext uri="{FF2B5EF4-FFF2-40B4-BE49-F238E27FC236}">
              <a16:creationId xmlns:a16="http://schemas.microsoft.com/office/drawing/2014/main" id="{00000000-0008-0000-0400-000045040000}"/>
            </a:ext>
          </a:extLst>
        </xdr:cNvPr>
        <xdr:cNvSpPr>
          <a:spLocks noChangeShapeType="1"/>
        </xdr:cNvSpPr>
      </xdr:nvSpPr>
      <xdr:spPr bwMode="auto">
        <a:xfrm>
          <a:off x="1133475" y="388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12</xdr:row>
      <xdr:rowOff>0</xdr:rowOff>
    </xdr:from>
    <xdr:to>
      <xdr:col>0</xdr:col>
      <xdr:colOff>1133475</xdr:colOff>
      <xdr:row>12</xdr:row>
      <xdr:rowOff>0</xdr:rowOff>
    </xdr:to>
    <xdr:sp macro="" textlink="">
      <xdr:nvSpPr>
        <xdr:cNvPr id="1094" name="Line 74">
          <a:extLst>
            <a:ext uri="{FF2B5EF4-FFF2-40B4-BE49-F238E27FC236}">
              <a16:creationId xmlns:a16="http://schemas.microsoft.com/office/drawing/2014/main" id="{00000000-0008-0000-0400-000046040000}"/>
            </a:ext>
          </a:extLst>
        </xdr:cNvPr>
        <xdr:cNvSpPr>
          <a:spLocks noChangeShapeType="1"/>
        </xdr:cNvSpPr>
      </xdr:nvSpPr>
      <xdr:spPr bwMode="auto">
        <a:xfrm>
          <a:off x="1133475" y="388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12</xdr:row>
      <xdr:rowOff>0</xdr:rowOff>
    </xdr:from>
    <xdr:to>
      <xdr:col>0</xdr:col>
      <xdr:colOff>1133475</xdr:colOff>
      <xdr:row>12</xdr:row>
      <xdr:rowOff>0</xdr:rowOff>
    </xdr:to>
    <xdr:sp macro="" textlink="">
      <xdr:nvSpPr>
        <xdr:cNvPr id="1095" name="Line 75">
          <a:extLst>
            <a:ext uri="{FF2B5EF4-FFF2-40B4-BE49-F238E27FC236}">
              <a16:creationId xmlns:a16="http://schemas.microsoft.com/office/drawing/2014/main" id="{00000000-0008-0000-0400-000047040000}"/>
            </a:ext>
          </a:extLst>
        </xdr:cNvPr>
        <xdr:cNvSpPr>
          <a:spLocks noChangeShapeType="1"/>
        </xdr:cNvSpPr>
      </xdr:nvSpPr>
      <xdr:spPr bwMode="auto">
        <a:xfrm>
          <a:off x="1133475" y="388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12</xdr:row>
      <xdr:rowOff>0</xdr:rowOff>
    </xdr:from>
    <xdr:to>
      <xdr:col>0</xdr:col>
      <xdr:colOff>1133475</xdr:colOff>
      <xdr:row>12</xdr:row>
      <xdr:rowOff>0</xdr:rowOff>
    </xdr:to>
    <xdr:sp macro="" textlink="">
      <xdr:nvSpPr>
        <xdr:cNvPr id="1096" name="Line 76">
          <a:extLst>
            <a:ext uri="{FF2B5EF4-FFF2-40B4-BE49-F238E27FC236}">
              <a16:creationId xmlns:a16="http://schemas.microsoft.com/office/drawing/2014/main" id="{00000000-0008-0000-0400-000048040000}"/>
            </a:ext>
          </a:extLst>
        </xdr:cNvPr>
        <xdr:cNvSpPr>
          <a:spLocks noChangeShapeType="1"/>
        </xdr:cNvSpPr>
      </xdr:nvSpPr>
      <xdr:spPr bwMode="auto">
        <a:xfrm>
          <a:off x="1133475" y="388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12</xdr:row>
      <xdr:rowOff>0</xdr:rowOff>
    </xdr:from>
    <xdr:to>
      <xdr:col>0</xdr:col>
      <xdr:colOff>1133475</xdr:colOff>
      <xdr:row>12</xdr:row>
      <xdr:rowOff>0</xdr:rowOff>
    </xdr:to>
    <xdr:sp macro="" textlink="">
      <xdr:nvSpPr>
        <xdr:cNvPr id="1097" name="Line 77">
          <a:extLst>
            <a:ext uri="{FF2B5EF4-FFF2-40B4-BE49-F238E27FC236}">
              <a16:creationId xmlns:a16="http://schemas.microsoft.com/office/drawing/2014/main" id="{00000000-0008-0000-0400-000049040000}"/>
            </a:ext>
          </a:extLst>
        </xdr:cNvPr>
        <xdr:cNvSpPr>
          <a:spLocks noChangeShapeType="1"/>
        </xdr:cNvSpPr>
      </xdr:nvSpPr>
      <xdr:spPr bwMode="auto">
        <a:xfrm>
          <a:off x="1133475" y="388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12</xdr:row>
      <xdr:rowOff>0</xdr:rowOff>
    </xdr:from>
    <xdr:to>
      <xdr:col>0</xdr:col>
      <xdr:colOff>1133475</xdr:colOff>
      <xdr:row>12</xdr:row>
      <xdr:rowOff>0</xdr:rowOff>
    </xdr:to>
    <xdr:sp macro="" textlink="">
      <xdr:nvSpPr>
        <xdr:cNvPr id="1098" name="Line 78">
          <a:extLst>
            <a:ext uri="{FF2B5EF4-FFF2-40B4-BE49-F238E27FC236}">
              <a16:creationId xmlns:a16="http://schemas.microsoft.com/office/drawing/2014/main" id="{00000000-0008-0000-0400-00004A040000}"/>
            </a:ext>
          </a:extLst>
        </xdr:cNvPr>
        <xdr:cNvSpPr>
          <a:spLocks noChangeShapeType="1"/>
        </xdr:cNvSpPr>
      </xdr:nvSpPr>
      <xdr:spPr bwMode="auto">
        <a:xfrm>
          <a:off x="1133475" y="388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12</xdr:row>
      <xdr:rowOff>0</xdr:rowOff>
    </xdr:from>
    <xdr:to>
      <xdr:col>0</xdr:col>
      <xdr:colOff>1133475</xdr:colOff>
      <xdr:row>12</xdr:row>
      <xdr:rowOff>0</xdr:rowOff>
    </xdr:to>
    <xdr:sp macro="" textlink="">
      <xdr:nvSpPr>
        <xdr:cNvPr id="1099" name="Line 79">
          <a:extLst>
            <a:ext uri="{FF2B5EF4-FFF2-40B4-BE49-F238E27FC236}">
              <a16:creationId xmlns:a16="http://schemas.microsoft.com/office/drawing/2014/main" id="{00000000-0008-0000-0400-00004B040000}"/>
            </a:ext>
          </a:extLst>
        </xdr:cNvPr>
        <xdr:cNvSpPr>
          <a:spLocks noChangeShapeType="1"/>
        </xdr:cNvSpPr>
      </xdr:nvSpPr>
      <xdr:spPr bwMode="auto">
        <a:xfrm>
          <a:off x="1133475" y="388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12</xdr:row>
      <xdr:rowOff>0</xdr:rowOff>
    </xdr:from>
    <xdr:to>
      <xdr:col>0</xdr:col>
      <xdr:colOff>1133475</xdr:colOff>
      <xdr:row>12</xdr:row>
      <xdr:rowOff>0</xdr:rowOff>
    </xdr:to>
    <xdr:sp macro="" textlink="">
      <xdr:nvSpPr>
        <xdr:cNvPr id="1100" name="Line 80">
          <a:extLst>
            <a:ext uri="{FF2B5EF4-FFF2-40B4-BE49-F238E27FC236}">
              <a16:creationId xmlns:a16="http://schemas.microsoft.com/office/drawing/2014/main" id="{00000000-0008-0000-0400-00004C040000}"/>
            </a:ext>
          </a:extLst>
        </xdr:cNvPr>
        <xdr:cNvSpPr>
          <a:spLocks noChangeShapeType="1"/>
        </xdr:cNvSpPr>
      </xdr:nvSpPr>
      <xdr:spPr bwMode="auto">
        <a:xfrm>
          <a:off x="1133475" y="388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12</xdr:row>
      <xdr:rowOff>9525</xdr:rowOff>
    </xdr:from>
    <xdr:to>
      <xdr:col>0</xdr:col>
      <xdr:colOff>1133475</xdr:colOff>
      <xdr:row>12</xdr:row>
      <xdr:rowOff>9525</xdr:rowOff>
    </xdr:to>
    <xdr:sp macro="" textlink="">
      <xdr:nvSpPr>
        <xdr:cNvPr id="1101" name="Line 81">
          <a:extLst>
            <a:ext uri="{FF2B5EF4-FFF2-40B4-BE49-F238E27FC236}">
              <a16:creationId xmlns:a16="http://schemas.microsoft.com/office/drawing/2014/main" id="{00000000-0008-0000-0400-00004D040000}"/>
            </a:ext>
          </a:extLst>
        </xdr:cNvPr>
        <xdr:cNvSpPr>
          <a:spLocks noChangeShapeType="1"/>
        </xdr:cNvSpPr>
      </xdr:nvSpPr>
      <xdr:spPr bwMode="auto">
        <a:xfrm>
          <a:off x="1133475" y="3895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12</xdr:row>
      <xdr:rowOff>9525</xdr:rowOff>
    </xdr:from>
    <xdr:to>
      <xdr:col>0</xdr:col>
      <xdr:colOff>1133475</xdr:colOff>
      <xdr:row>12</xdr:row>
      <xdr:rowOff>9525</xdr:rowOff>
    </xdr:to>
    <xdr:sp macro="" textlink="">
      <xdr:nvSpPr>
        <xdr:cNvPr id="1102" name="Line 82">
          <a:extLst>
            <a:ext uri="{FF2B5EF4-FFF2-40B4-BE49-F238E27FC236}">
              <a16:creationId xmlns:a16="http://schemas.microsoft.com/office/drawing/2014/main" id="{00000000-0008-0000-0400-00004E040000}"/>
            </a:ext>
          </a:extLst>
        </xdr:cNvPr>
        <xdr:cNvSpPr>
          <a:spLocks noChangeShapeType="1"/>
        </xdr:cNvSpPr>
      </xdr:nvSpPr>
      <xdr:spPr bwMode="auto">
        <a:xfrm>
          <a:off x="1133475" y="3895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13</xdr:row>
      <xdr:rowOff>0</xdr:rowOff>
    </xdr:from>
    <xdr:to>
      <xdr:col>0</xdr:col>
      <xdr:colOff>1133475</xdr:colOff>
      <xdr:row>13</xdr:row>
      <xdr:rowOff>0</xdr:rowOff>
    </xdr:to>
    <xdr:sp macro="" textlink="">
      <xdr:nvSpPr>
        <xdr:cNvPr id="1103" name="Line 83">
          <a:extLst>
            <a:ext uri="{FF2B5EF4-FFF2-40B4-BE49-F238E27FC236}">
              <a16:creationId xmlns:a16="http://schemas.microsoft.com/office/drawing/2014/main" id="{00000000-0008-0000-0400-00004F040000}"/>
            </a:ext>
          </a:extLst>
        </xdr:cNvPr>
        <xdr:cNvSpPr>
          <a:spLocks noChangeShapeType="1"/>
        </xdr:cNvSpPr>
      </xdr:nvSpPr>
      <xdr:spPr bwMode="auto">
        <a:xfrm>
          <a:off x="1133475" y="421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13</xdr:row>
      <xdr:rowOff>0</xdr:rowOff>
    </xdr:from>
    <xdr:to>
      <xdr:col>0</xdr:col>
      <xdr:colOff>1133475</xdr:colOff>
      <xdr:row>13</xdr:row>
      <xdr:rowOff>0</xdr:rowOff>
    </xdr:to>
    <xdr:sp macro="" textlink="">
      <xdr:nvSpPr>
        <xdr:cNvPr id="1104" name="Line 84">
          <a:extLst>
            <a:ext uri="{FF2B5EF4-FFF2-40B4-BE49-F238E27FC236}">
              <a16:creationId xmlns:a16="http://schemas.microsoft.com/office/drawing/2014/main" id="{00000000-0008-0000-0400-000050040000}"/>
            </a:ext>
          </a:extLst>
        </xdr:cNvPr>
        <xdr:cNvSpPr>
          <a:spLocks noChangeShapeType="1"/>
        </xdr:cNvSpPr>
      </xdr:nvSpPr>
      <xdr:spPr bwMode="auto">
        <a:xfrm>
          <a:off x="1133475" y="421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13</xdr:row>
      <xdr:rowOff>0</xdr:rowOff>
    </xdr:from>
    <xdr:to>
      <xdr:col>0</xdr:col>
      <xdr:colOff>1133475</xdr:colOff>
      <xdr:row>13</xdr:row>
      <xdr:rowOff>0</xdr:rowOff>
    </xdr:to>
    <xdr:sp macro="" textlink="">
      <xdr:nvSpPr>
        <xdr:cNvPr id="1105" name="Line 85">
          <a:extLst>
            <a:ext uri="{FF2B5EF4-FFF2-40B4-BE49-F238E27FC236}">
              <a16:creationId xmlns:a16="http://schemas.microsoft.com/office/drawing/2014/main" id="{00000000-0008-0000-0400-000051040000}"/>
            </a:ext>
          </a:extLst>
        </xdr:cNvPr>
        <xdr:cNvSpPr>
          <a:spLocks noChangeShapeType="1"/>
        </xdr:cNvSpPr>
      </xdr:nvSpPr>
      <xdr:spPr bwMode="auto">
        <a:xfrm>
          <a:off x="1133475" y="421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13</xdr:row>
      <xdr:rowOff>0</xdr:rowOff>
    </xdr:from>
    <xdr:to>
      <xdr:col>0</xdr:col>
      <xdr:colOff>1133475</xdr:colOff>
      <xdr:row>13</xdr:row>
      <xdr:rowOff>0</xdr:rowOff>
    </xdr:to>
    <xdr:sp macro="" textlink="">
      <xdr:nvSpPr>
        <xdr:cNvPr id="1106" name="Line 86">
          <a:extLst>
            <a:ext uri="{FF2B5EF4-FFF2-40B4-BE49-F238E27FC236}">
              <a16:creationId xmlns:a16="http://schemas.microsoft.com/office/drawing/2014/main" id="{00000000-0008-0000-0400-000052040000}"/>
            </a:ext>
          </a:extLst>
        </xdr:cNvPr>
        <xdr:cNvSpPr>
          <a:spLocks noChangeShapeType="1"/>
        </xdr:cNvSpPr>
      </xdr:nvSpPr>
      <xdr:spPr bwMode="auto">
        <a:xfrm>
          <a:off x="1133475" y="421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13</xdr:row>
      <xdr:rowOff>0</xdr:rowOff>
    </xdr:from>
    <xdr:to>
      <xdr:col>0</xdr:col>
      <xdr:colOff>1133475</xdr:colOff>
      <xdr:row>13</xdr:row>
      <xdr:rowOff>0</xdr:rowOff>
    </xdr:to>
    <xdr:sp macro="" textlink="">
      <xdr:nvSpPr>
        <xdr:cNvPr id="1107" name="Line 87">
          <a:extLst>
            <a:ext uri="{FF2B5EF4-FFF2-40B4-BE49-F238E27FC236}">
              <a16:creationId xmlns:a16="http://schemas.microsoft.com/office/drawing/2014/main" id="{00000000-0008-0000-0400-000053040000}"/>
            </a:ext>
          </a:extLst>
        </xdr:cNvPr>
        <xdr:cNvSpPr>
          <a:spLocks noChangeShapeType="1"/>
        </xdr:cNvSpPr>
      </xdr:nvSpPr>
      <xdr:spPr bwMode="auto">
        <a:xfrm>
          <a:off x="1133475" y="421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13</xdr:row>
      <xdr:rowOff>0</xdr:rowOff>
    </xdr:from>
    <xdr:to>
      <xdr:col>0</xdr:col>
      <xdr:colOff>1133475</xdr:colOff>
      <xdr:row>13</xdr:row>
      <xdr:rowOff>0</xdr:rowOff>
    </xdr:to>
    <xdr:sp macro="" textlink="">
      <xdr:nvSpPr>
        <xdr:cNvPr id="1108" name="Line 88">
          <a:extLst>
            <a:ext uri="{FF2B5EF4-FFF2-40B4-BE49-F238E27FC236}">
              <a16:creationId xmlns:a16="http://schemas.microsoft.com/office/drawing/2014/main" id="{00000000-0008-0000-0400-000054040000}"/>
            </a:ext>
          </a:extLst>
        </xdr:cNvPr>
        <xdr:cNvSpPr>
          <a:spLocks noChangeShapeType="1"/>
        </xdr:cNvSpPr>
      </xdr:nvSpPr>
      <xdr:spPr bwMode="auto">
        <a:xfrm>
          <a:off x="1133475" y="421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13</xdr:row>
      <xdr:rowOff>0</xdr:rowOff>
    </xdr:from>
    <xdr:to>
      <xdr:col>0</xdr:col>
      <xdr:colOff>1133475</xdr:colOff>
      <xdr:row>13</xdr:row>
      <xdr:rowOff>0</xdr:rowOff>
    </xdr:to>
    <xdr:sp macro="" textlink="">
      <xdr:nvSpPr>
        <xdr:cNvPr id="1109" name="Line 89">
          <a:extLst>
            <a:ext uri="{FF2B5EF4-FFF2-40B4-BE49-F238E27FC236}">
              <a16:creationId xmlns:a16="http://schemas.microsoft.com/office/drawing/2014/main" id="{00000000-0008-0000-0400-000055040000}"/>
            </a:ext>
          </a:extLst>
        </xdr:cNvPr>
        <xdr:cNvSpPr>
          <a:spLocks noChangeShapeType="1"/>
        </xdr:cNvSpPr>
      </xdr:nvSpPr>
      <xdr:spPr bwMode="auto">
        <a:xfrm>
          <a:off x="1133475" y="421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13</xdr:row>
      <xdr:rowOff>0</xdr:rowOff>
    </xdr:from>
    <xdr:to>
      <xdr:col>0</xdr:col>
      <xdr:colOff>1133475</xdr:colOff>
      <xdr:row>13</xdr:row>
      <xdr:rowOff>0</xdr:rowOff>
    </xdr:to>
    <xdr:sp macro="" textlink="">
      <xdr:nvSpPr>
        <xdr:cNvPr id="1110" name="Line 90">
          <a:extLst>
            <a:ext uri="{FF2B5EF4-FFF2-40B4-BE49-F238E27FC236}">
              <a16:creationId xmlns:a16="http://schemas.microsoft.com/office/drawing/2014/main" id="{00000000-0008-0000-0400-000056040000}"/>
            </a:ext>
          </a:extLst>
        </xdr:cNvPr>
        <xdr:cNvSpPr>
          <a:spLocks noChangeShapeType="1"/>
        </xdr:cNvSpPr>
      </xdr:nvSpPr>
      <xdr:spPr bwMode="auto">
        <a:xfrm>
          <a:off x="1133475" y="4210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13</xdr:row>
      <xdr:rowOff>9525</xdr:rowOff>
    </xdr:from>
    <xdr:to>
      <xdr:col>0</xdr:col>
      <xdr:colOff>1133475</xdr:colOff>
      <xdr:row>13</xdr:row>
      <xdr:rowOff>9525</xdr:rowOff>
    </xdr:to>
    <xdr:sp macro="" textlink="">
      <xdr:nvSpPr>
        <xdr:cNvPr id="1111" name="Line 91">
          <a:extLst>
            <a:ext uri="{FF2B5EF4-FFF2-40B4-BE49-F238E27FC236}">
              <a16:creationId xmlns:a16="http://schemas.microsoft.com/office/drawing/2014/main" id="{00000000-0008-0000-0400-000057040000}"/>
            </a:ext>
          </a:extLst>
        </xdr:cNvPr>
        <xdr:cNvSpPr>
          <a:spLocks noChangeShapeType="1"/>
        </xdr:cNvSpPr>
      </xdr:nvSpPr>
      <xdr:spPr bwMode="auto">
        <a:xfrm>
          <a:off x="1133475" y="421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13</xdr:row>
      <xdr:rowOff>9525</xdr:rowOff>
    </xdr:from>
    <xdr:to>
      <xdr:col>0</xdr:col>
      <xdr:colOff>1133475</xdr:colOff>
      <xdr:row>13</xdr:row>
      <xdr:rowOff>9525</xdr:rowOff>
    </xdr:to>
    <xdr:sp macro="" textlink="">
      <xdr:nvSpPr>
        <xdr:cNvPr id="1112" name="Line 92">
          <a:extLst>
            <a:ext uri="{FF2B5EF4-FFF2-40B4-BE49-F238E27FC236}">
              <a16:creationId xmlns:a16="http://schemas.microsoft.com/office/drawing/2014/main" id="{00000000-0008-0000-0400-000058040000}"/>
            </a:ext>
          </a:extLst>
        </xdr:cNvPr>
        <xdr:cNvSpPr>
          <a:spLocks noChangeShapeType="1"/>
        </xdr:cNvSpPr>
      </xdr:nvSpPr>
      <xdr:spPr bwMode="auto">
        <a:xfrm>
          <a:off x="1133475" y="421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14</xdr:row>
      <xdr:rowOff>0</xdr:rowOff>
    </xdr:from>
    <xdr:to>
      <xdr:col>0</xdr:col>
      <xdr:colOff>1133475</xdr:colOff>
      <xdr:row>14</xdr:row>
      <xdr:rowOff>0</xdr:rowOff>
    </xdr:to>
    <xdr:sp macro="" textlink="">
      <xdr:nvSpPr>
        <xdr:cNvPr id="1113" name="Line 93">
          <a:extLst>
            <a:ext uri="{FF2B5EF4-FFF2-40B4-BE49-F238E27FC236}">
              <a16:creationId xmlns:a16="http://schemas.microsoft.com/office/drawing/2014/main" id="{00000000-0008-0000-0400-000059040000}"/>
            </a:ext>
          </a:extLst>
        </xdr:cNvPr>
        <xdr:cNvSpPr>
          <a:spLocks noChangeShapeType="1"/>
        </xdr:cNvSpPr>
      </xdr:nvSpPr>
      <xdr:spPr bwMode="auto">
        <a:xfrm>
          <a:off x="1133475" y="4533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14</xdr:row>
      <xdr:rowOff>0</xdr:rowOff>
    </xdr:from>
    <xdr:to>
      <xdr:col>0</xdr:col>
      <xdr:colOff>1133475</xdr:colOff>
      <xdr:row>14</xdr:row>
      <xdr:rowOff>0</xdr:rowOff>
    </xdr:to>
    <xdr:sp macro="" textlink="">
      <xdr:nvSpPr>
        <xdr:cNvPr id="1114" name="Line 94">
          <a:extLst>
            <a:ext uri="{FF2B5EF4-FFF2-40B4-BE49-F238E27FC236}">
              <a16:creationId xmlns:a16="http://schemas.microsoft.com/office/drawing/2014/main" id="{00000000-0008-0000-0400-00005A040000}"/>
            </a:ext>
          </a:extLst>
        </xdr:cNvPr>
        <xdr:cNvSpPr>
          <a:spLocks noChangeShapeType="1"/>
        </xdr:cNvSpPr>
      </xdr:nvSpPr>
      <xdr:spPr bwMode="auto">
        <a:xfrm>
          <a:off x="1133475" y="4533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14</xdr:row>
      <xdr:rowOff>0</xdr:rowOff>
    </xdr:from>
    <xdr:to>
      <xdr:col>0</xdr:col>
      <xdr:colOff>1133475</xdr:colOff>
      <xdr:row>14</xdr:row>
      <xdr:rowOff>0</xdr:rowOff>
    </xdr:to>
    <xdr:sp macro="" textlink="">
      <xdr:nvSpPr>
        <xdr:cNvPr id="1115" name="Line 95">
          <a:extLst>
            <a:ext uri="{FF2B5EF4-FFF2-40B4-BE49-F238E27FC236}">
              <a16:creationId xmlns:a16="http://schemas.microsoft.com/office/drawing/2014/main" id="{00000000-0008-0000-0400-00005B040000}"/>
            </a:ext>
          </a:extLst>
        </xdr:cNvPr>
        <xdr:cNvSpPr>
          <a:spLocks noChangeShapeType="1"/>
        </xdr:cNvSpPr>
      </xdr:nvSpPr>
      <xdr:spPr bwMode="auto">
        <a:xfrm>
          <a:off x="1133475" y="4533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14</xdr:row>
      <xdr:rowOff>0</xdr:rowOff>
    </xdr:from>
    <xdr:to>
      <xdr:col>0</xdr:col>
      <xdr:colOff>1133475</xdr:colOff>
      <xdr:row>14</xdr:row>
      <xdr:rowOff>0</xdr:rowOff>
    </xdr:to>
    <xdr:sp macro="" textlink="">
      <xdr:nvSpPr>
        <xdr:cNvPr id="1116" name="Line 96">
          <a:extLst>
            <a:ext uri="{FF2B5EF4-FFF2-40B4-BE49-F238E27FC236}">
              <a16:creationId xmlns:a16="http://schemas.microsoft.com/office/drawing/2014/main" id="{00000000-0008-0000-0400-00005C040000}"/>
            </a:ext>
          </a:extLst>
        </xdr:cNvPr>
        <xdr:cNvSpPr>
          <a:spLocks noChangeShapeType="1"/>
        </xdr:cNvSpPr>
      </xdr:nvSpPr>
      <xdr:spPr bwMode="auto">
        <a:xfrm>
          <a:off x="1133475" y="4533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14</xdr:row>
      <xdr:rowOff>0</xdr:rowOff>
    </xdr:from>
    <xdr:to>
      <xdr:col>0</xdr:col>
      <xdr:colOff>1133475</xdr:colOff>
      <xdr:row>14</xdr:row>
      <xdr:rowOff>0</xdr:rowOff>
    </xdr:to>
    <xdr:sp macro="" textlink="">
      <xdr:nvSpPr>
        <xdr:cNvPr id="1117" name="Line 97">
          <a:extLst>
            <a:ext uri="{FF2B5EF4-FFF2-40B4-BE49-F238E27FC236}">
              <a16:creationId xmlns:a16="http://schemas.microsoft.com/office/drawing/2014/main" id="{00000000-0008-0000-0400-00005D040000}"/>
            </a:ext>
          </a:extLst>
        </xdr:cNvPr>
        <xdr:cNvSpPr>
          <a:spLocks noChangeShapeType="1"/>
        </xdr:cNvSpPr>
      </xdr:nvSpPr>
      <xdr:spPr bwMode="auto">
        <a:xfrm>
          <a:off x="1133475" y="4533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14</xdr:row>
      <xdr:rowOff>0</xdr:rowOff>
    </xdr:from>
    <xdr:to>
      <xdr:col>0</xdr:col>
      <xdr:colOff>1133475</xdr:colOff>
      <xdr:row>14</xdr:row>
      <xdr:rowOff>0</xdr:rowOff>
    </xdr:to>
    <xdr:sp macro="" textlink="">
      <xdr:nvSpPr>
        <xdr:cNvPr id="1118" name="Line 98">
          <a:extLst>
            <a:ext uri="{FF2B5EF4-FFF2-40B4-BE49-F238E27FC236}">
              <a16:creationId xmlns:a16="http://schemas.microsoft.com/office/drawing/2014/main" id="{00000000-0008-0000-0400-00005E040000}"/>
            </a:ext>
          </a:extLst>
        </xdr:cNvPr>
        <xdr:cNvSpPr>
          <a:spLocks noChangeShapeType="1"/>
        </xdr:cNvSpPr>
      </xdr:nvSpPr>
      <xdr:spPr bwMode="auto">
        <a:xfrm>
          <a:off x="1133475" y="4533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14</xdr:row>
      <xdr:rowOff>0</xdr:rowOff>
    </xdr:from>
    <xdr:to>
      <xdr:col>0</xdr:col>
      <xdr:colOff>1133475</xdr:colOff>
      <xdr:row>14</xdr:row>
      <xdr:rowOff>0</xdr:rowOff>
    </xdr:to>
    <xdr:sp macro="" textlink="">
      <xdr:nvSpPr>
        <xdr:cNvPr id="1119" name="Line 99">
          <a:extLst>
            <a:ext uri="{FF2B5EF4-FFF2-40B4-BE49-F238E27FC236}">
              <a16:creationId xmlns:a16="http://schemas.microsoft.com/office/drawing/2014/main" id="{00000000-0008-0000-0400-00005F040000}"/>
            </a:ext>
          </a:extLst>
        </xdr:cNvPr>
        <xdr:cNvSpPr>
          <a:spLocks noChangeShapeType="1"/>
        </xdr:cNvSpPr>
      </xdr:nvSpPr>
      <xdr:spPr bwMode="auto">
        <a:xfrm>
          <a:off x="1133475" y="4533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14</xdr:row>
      <xdr:rowOff>0</xdr:rowOff>
    </xdr:from>
    <xdr:to>
      <xdr:col>0</xdr:col>
      <xdr:colOff>1133475</xdr:colOff>
      <xdr:row>14</xdr:row>
      <xdr:rowOff>0</xdr:rowOff>
    </xdr:to>
    <xdr:sp macro="" textlink="">
      <xdr:nvSpPr>
        <xdr:cNvPr id="1120" name="Line 100">
          <a:extLst>
            <a:ext uri="{FF2B5EF4-FFF2-40B4-BE49-F238E27FC236}">
              <a16:creationId xmlns:a16="http://schemas.microsoft.com/office/drawing/2014/main" id="{00000000-0008-0000-0400-000060040000}"/>
            </a:ext>
          </a:extLst>
        </xdr:cNvPr>
        <xdr:cNvSpPr>
          <a:spLocks noChangeShapeType="1"/>
        </xdr:cNvSpPr>
      </xdr:nvSpPr>
      <xdr:spPr bwMode="auto">
        <a:xfrm>
          <a:off x="1133475" y="4533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14</xdr:row>
      <xdr:rowOff>9525</xdr:rowOff>
    </xdr:from>
    <xdr:to>
      <xdr:col>0</xdr:col>
      <xdr:colOff>1133475</xdr:colOff>
      <xdr:row>14</xdr:row>
      <xdr:rowOff>9525</xdr:rowOff>
    </xdr:to>
    <xdr:sp macro="" textlink="">
      <xdr:nvSpPr>
        <xdr:cNvPr id="1121" name="Line 101">
          <a:extLst>
            <a:ext uri="{FF2B5EF4-FFF2-40B4-BE49-F238E27FC236}">
              <a16:creationId xmlns:a16="http://schemas.microsoft.com/office/drawing/2014/main" id="{00000000-0008-0000-0400-000061040000}"/>
            </a:ext>
          </a:extLst>
        </xdr:cNvPr>
        <xdr:cNvSpPr>
          <a:spLocks noChangeShapeType="1"/>
        </xdr:cNvSpPr>
      </xdr:nvSpPr>
      <xdr:spPr bwMode="auto">
        <a:xfrm>
          <a:off x="1133475" y="4543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14</xdr:row>
      <xdr:rowOff>9525</xdr:rowOff>
    </xdr:from>
    <xdr:to>
      <xdr:col>0</xdr:col>
      <xdr:colOff>1133475</xdr:colOff>
      <xdr:row>14</xdr:row>
      <xdr:rowOff>9525</xdr:rowOff>
    </xdr:to>
    <xdr:sp macro="" textlink="">
      <xdr:nvSpPr>
        <xdr:cNvPr id="1122" name="Line 102">
          <a:extLst>
            <a:ext uri="{FF2B5EF4-FFF2-40B4-BE49-F238E27FC236}">
              <a16:creationId xmlns:a16="http://schemas.microsoft.com/office/drawing/2014/main" id="{00000000-0008-0000-0400-000062040000}"/>
            </a:ext>
          </a:extLst>
        </xdr:cNvPr>
        <xdr:cNvSpPr>
          <a:spLocks noChangeShapeType="1"/>
        </xdr:cNvSpPr>
      </xdr:nvSpPr>
      <xdr:spPr bwMode="auto">
        <a:xfrm>
          <a:off x="1133475" y="4543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15</xdr:row>
      <xdr:rowOff>0</xdr:rowOff>
    </xdr:from>
    <xdr:to>
      <xdr:col>0</xdr:col>
      <xdr:colOff>1133475</xdr:colOff>
      <xdr:row>15</xdr:row>
      <xdr:rowOff>0</xdr:rowOff>
    </xdr:to>
    <xdr:sp macro="" textlink="">
      <xdr:nvSpPr>
        <xdr:cNvPr id="1123" name="Line 103">
          <a:extLst>
            <a:ext uri="{FF2B5EF4-FFF2-40B4-BE49-F238E27FC236}">
              <a16:creationId xmlns:a16="http://schemas.microsoft.com/office/drawing/2014/main" id="{00000000-0008-0000-0400-000063040000}"/>
            </a:ext>
          </a:extLst>
        </xdr:cNvPr>
        <xdr:cNvSpPr>
          <a:spLocks noChangeShapeType="1"/>
        </xdr:cNvSpPr>
      </xdr:nvSpPr>
      <xdr:spPr bwMode="auto">
        <a:xfrm>
          <a:off x="1133475" y="4857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15</xdr:row>
      <xdr:rowOff>0</xdr:rowOff>
    </xdr:from>
    <xdr:to>
      <xdr:col>0</xdr:col>
      <xdr:colOff>1133475</xdr:colOff>
      <xdr:row>15</xdr:row>
      <xdr:rowOff>0</xdr:rowOff>
    </xdr:to>
    <xdr:sp macro="" textlink="">
      <xdr:nvSpPr>
        <xdr:cNvPr id="1124" name="Line 104">
          <a:extLst>
            <a:ext uri="{FF2B5EF4-FFF2-40B4-BE49-F238E27FC236}">
              <a16:creationId xmlns:a16="http://schemas.microsoft.com/office/drawing/2014/main" id="{00000000-0008-0000-0400-000064040000}"/>
            </a:ext>
          </a:extLst>
        </xdr:cNvPr>
        <xdr:cNvSpPr>
          <a:spLocks noChangeShapeType="1"/>
        </xdr:cNvSpPr>
      </xdr:nvSpPr>
      <xdr:spPr bwMode="auto">
        <a:xfrm>
          <a:off x="1133475" y="4857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15</xdr:row>
      <xdr:rowOff>0</xdr:rowOff>
    </xdr:from>
    <xdr:to>
      <xdr:col>0</xdr:col>
      <xdr:colOff>1133475</xdr:colOff>
      <xdr:row>15</xdr:row>
      <xdr:rowOff>0</xdr:rowOff>
    </xdr:to>
    <xdr:sp macro="" textlink="">
      <xdr:nvSpPr>
        <xdr:cNvPr id="1125" name="Line 105">
          <a:extLst>
            <a:ext uri="{FF2B5EF4-FFF2-40B4-BE49-F238E27FC236}">
              <a16:creationId xmlns:a16="http://schemas.microsoft.com/office/drawing/2014/main" id="{00000000-0008-0000-0400-000065040000}"/>
            </a:ext>
          </a:extLst>
        </xdr:cNvPr>
        <xdr:cNvSpPr>
          <a:spLocks noChangeShapeType="1"/>
        </xdr:cNvSpPr>
      </xdr:nvSpPr>
      <xdr:spPr bwMode="auto">
        <a:xfrm>
          <a:off x="1133475" y="4857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15</xdr:row>
      <xdr:rowOff>0</xdr:rowOff>
    </xdr:from>
    <xdr:to>
      <xdr:col>0</xdr:col>
      <xdr:colOff>1133475</xdr:colOff>
      <xdr:row>15</xdr:row>
      <xdr:rowOff>0</xdr:rowOff>
    </xdr:to>
    <xdr:sp macro="" textlink="">
      <xdr:nvSpPr>
        <xdr:cNvPr id="1126" name="Line 106">
          <a:extLst>
            <a:ext uri="{FF2B5EF4-FFF2-40B4-BE49-F238E27FC236}">
              <a16:creationId xmlns:a16="http://schemas.microsoft.com/office/drawing/2014/main" id="{00000000-0008-0000-0400-000066040000}"/>
            </a:ext>
          </a:extLst>
        </xdr:cNvPr>
        <xdr:cNvSpPr>
          <a:spLocks noChangeShapeType="1"/>
        </xdr:cNvSpPr>
      </xdr:nvSpPr>
      <xdr:spPr bwMode="auto">
        <a:xfrm>
          <a:off x="1133475" y="4857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15</xdr:row>
      <xdr:rowOff>0</xdr:rowOff>
    </xdr:from>
    <xdr:to>
      <xdr:col>0</xdr:col>
      <xdr:colOff>1133475</xdr:colOff>
      <xdr:row>15</xdr:row>
      <xdr:rowOff>0</xdr:rowOff>
    </xdr:to>
    <xdr:sp macro="" textlink="">
      <xdr:nvSpPr>
        <xdr:cNvPr id="1127" name="Line 107">
          <a:extLst>
            <a:ext uri="{FF2B5EF4-FFF2-40B4-BE49-F238E27FC236}">
              <a16:creationId xmlns:a16="http://schemas.microsoft.com/office/drawing/2014/main" id="{00000000-0008-0000-0400-000067040000}"/>
            </a:ext>
          </a:extLst>
        </xdr:cNvPr>
        <xdr:cNvSpPr>
          <a:spLocks noChangeShapeType="1"/>
        </xdr:cNvSpPr>
      </xdr:nvSpPr>
      <xdr:spPr bwMode="auto">
        <a:xfrm>
          <a:off x="1133475" y="4857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15</xdr:row>
      <xdr:rowOff>0</xdr:rowOff>
    </xdr:from>
    <xdr:to>
      <xdr:col>0</xdr:col>
      <xdr:colOff>1133475</xdr:colOff>
      <xdr:row>15</xdr:row>
      <xdr:rowOff>0</xdr:rowOff>
    </xdr:to>
    <xdr:sp macro="" textlink="">
      <xdr:nvSpPr>
        <xdr:cNvPr id="1128" name="Line 108">
          <a:extLst>
            <a:ext uri="{FF2B5EF4-FFF2-40B4-BE49-F238E27FC236}">
              <a16:creationId xmlns:a16="http://schemas.microsoft.com/office/drawing/2014/main" id="{00000000-0008-0000-0400-000068040000}"/>
            </a:ext>
          </a:extLst>
        </xdr:cNvPr>
        <xdr:cNvSpPr>
          <a:spLocks noChangeShapeType="1"/>
        </xdr:cNvSpPr>
      </xdr:nvSpPr>
      <xdr:spPr bwMode="auto">
        <a:xfrm>
          <a:off x="1133475" y="4857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15</xdr:row>
      <xdr:rowOff>0</xdr:rowOff>
    </xdr:from>
    <xdr:to>
      <xdr:col>0</xdr:col>
      <xdr:colOff>1133475</xdr:colOff>
      <xdr:row>15</xdr:row>
      <xdr:rowOff>0</xdr:rowOff>
    </xdr:to>
    <xdr:sp macro="" textlink="">
      <xdr:nvSpPr>
        <xdr:cNvPr id="1129" name="Line 109">
          <a:extLst>
            <a:ext uri="{FF2B5EF4-FFF2-40B4-BE49-F238E27FC236}">
              <a16:creationId xmlns:a16="http://schemas.microsoft.com/office/drawing/2014/main" id="{00000000-0008-0000-0400-000069040000}"/>
            </a:ext>
          </a:extLst>
        </xdr:cNvPr>
        <xdr:cNvSpPr>
          <a:spLocks noChangeShapeType="1"/>
        </xdr:cNvSpPr>
      </xdr:nvSpPr>
      <xdr:spPr bwMode="auto">
        <a:xfrm>
          <a:off x="1133475" y="4857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15</xdr:row>
      <xdr:rowOff>0</xdr:rowOff>
    </xdr:from>
    <xdr:to>
      <xdr:col>0</xdr:col>
      <xdr:colOff>1133475</xdr:colOff>
      <xdr:row>15</xdr:row>
      <xdr:rowOff>0</xdr:rowOff>
    </xdr:to>
    <xdr:sp macro="" textlink="">
      <xdr:nvSpPr>
        <xdr:cNvPr id="1130" name="Line 110">
          <a:extLst>
            <a:ext uri="{FF2B5EF4-FFF2-40B4-BE49-F238E27FC236}">
              <a16:creationId xmlns:a16="http://schemas.microsoft.com/office/drawing/2014/main" id="{00000000-0008-0000-0400-00006A040000}"/>
            </a:ext>
          </a:extLst>
        </xdr:cNvPr>
        <xdr:cNvSpPr>
          <a:spLocks noChangeShapeType="1"/>
        </xdr:cNvSpPr>
      </xdr:nvSpPr>
      <xdr:spPr bwMode="auto">
        <a:xfrm>
          <a:off x="1133475" y="4857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15</xdr:row>
      <xdr:rowOff>9525</xdr:rowOff>
    </xdr:from>
    <xdr:to>
      <xdr:col>0</xdr:col>
      <xdr:colOff>1133475</xdr:colOff>
      <xdr:row>15</xdr:row>
      <xdr:rowOff>9525</xdr:rowOff>
    </xdr:to>
    <xdr:sp macro="" textlink="">
      <xdr:nvSpPr>
        <xdr:cNvPr id="1131" name="Line 111">
          <a:extLst>
            <a:ext uri="{FF2B5EF4-FFF2-40B4-BE49-F238E27FC236}">
              <a16:creationId xmlns:a16="http://schemas.microsoft.com/office/drawing/2014/main" id="{00000000-0008-0000-0400-00006B040000}"/>
            </a:ext>
          </a:extLst>
        </xdr:cNvPr>
        <xdr:cNvSpPr>
          <a:spLocks noChangeShapeType="1"/>
        </xdr:cNvSpPr>
      </xdr:nvSpPr>
      <xdr:spPr bwMode="auto">
        <a:xfrm>
          <a:off x="1133475" y="486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15</xdr:row>
      <xdr:rowOff>9525</xdr:rowOff>
    </xdr:from>
    <xdr:to>
      <xdr:col>0</xdr:col>
      <xdr:colOff>1133475</xdr:colOff>
      <xdr:row>15</xdr:row>
      <xdr:rowOff>9525</xdr:rowOff>
    </xdr:to>
    <xdr:sp macro="" textlink="">
      <xdr:nvSpPr>
        <xdr:cNvPr id="1132" name="Line 112">
          <a:extLst>
            <a:ext uri="{FF2B5EF4-FFF2-40B4-BE49-F238E27FC236}">
              <a16:creationId xmlns:a16="http://schemas.microsoft.com/office/drawing/2014/main" id="{00000000-0008-0000-0400-00006C040000}"/>
            </a:ext>
          </a:extLst>
        </xdr:cNvPr>
        <xdr:cNvSpPr>
          <a:spLocks noChangeShapeType="1"/>
        </xdr:cNvSpPr>
      </xdr:nvSpPr>
      <xdr:spPr bwMode="auto">
        <a:xfrm>
          <a:off x="1133475" y="4867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16</xdr:row>
      <xdr:rowOff>0</xdr:rowOff>
    </xdr:from>
    <xdr:to>
      <xdr:col>0</xdr:col>
      <xdr:colOff>1133475</xdr:colOff>
      <xdr:row>16</xdr:row>
      <xdr:rowOff>0</xdr:rowOff>
    </xdr:to>
    <xdr:sp macro="" textlink="">
      <xdr:nvSpPr>
        <xdr:cNvPr id="1133" name="Line 113">
          <a:extLst>
            <a:ext uri="{FF2B5EF4-FFF2-40B4-BE49-F238E27FC236}">
              <a16:creationId xmlns:a16="http://schemas.microsoft.com/office/drawing/2014/main" id="{00000000-0008-0000-0400-00006D040000}"/>
            </a:ext>
          </a:extLst>
        </xdr:cNvPr>
        <xdr:cNvSpPr>
          <a:spLocks noChangeShapeType="1"/>
        </xdr:cNvSpPr>
      </xdr:nvSpPr>
      <xdr:spPr bwMode="auto">
        <a:xfrm>
          <a:off x="1133475" y="5181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16</xdr:row>
      <xdr:rowOff>0</xdr:rowOff>
    </xdr:from>
    <xdr:to>
      <xdr:col>0</xdr:col>
      <xdr:colOff>1133475</xdr:colOff>
      <xdr:row>16</xdr:row>
      <xdr:rowOff>0</xdr:rowOff>
    </xdr:to>
    <xdr:sp macro="" textlink="">
      <xdr:nvSpPr>
        <xdr:cNvPr id="1134" name="Line 114">
          <a:extLst>
            <a:ext uri="{FF2B5EF4-FFF2-40B4-BE49-F238E27FC236}">
              <a16:creationId xmlns:a16="http://schemas.microsoft.com/office/drawing/2014/main" id="{00000000-0008-0000-0400-00006E040000}"/>
            </a:ext>
          </a:extLst>
        </xdr:cNvPr>
        <xdr:cNvSpPr>
          <a:spLocks noChangeShapeType="1"/>
        </xdr:cNvSpPr>
      </xdr:nvSpPr>
      <xdr:spPr bwMode="auto">
        <a:xfrm>
          <a:off x="1133475" y="5181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16</xdr:row>
      <xdr:rowOff>0</xdr:rowOff>
    </xdr:from>
    <xdr:to>
      <xdr:col>0</xdr:col>
      <xdr:colOff>1133475</xdr:colOff>
      <xdr:row>16</xdr:row>
      <xdr:rowOff>0</xdr:rowOff>
    </xdr:to>
    <xdr:sp macro="" textlink="">
      <xdr:nvSpPr>
        <xdr:cNvPr id="1135" name="Line 115">
          <a:extLst>
            <a:ext uri="{FF2B5EF4-FFF2-40B4-BE49-F238E27FC236}">
              <a16:creationId xmlns:a16="http://schemas.microsoft.com/office/drawing/2014/main" id="{00000000-0008-0000-0400-00006F040000}"/>
            </a:ext>
          </a:extLst>
        </xdr:cNvPr>
        <xdr:cNvSpPr>
          <a:spLocks noChangeShapeType="1"/>
        </xdr:cNvSpPr>
      </xdr:nvSpPr>
      <xdr:spPr bwMode="auto">
        <a:xfrm>
          <a:off x="1133475" y="5181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16</xdr:row>
      <xdr:rowOff>0</xdr:rowOff>
    </xdr:from>
    <xdr:to>
      <xdr:col>0</xdr:col>
      <xdr:colOff>1133475</xdr:colOff>
      <xdr:row>16</xdr:row>
      <xdr:rowOff>0</xdr:rowOff>
    </xdr:to>
    <xdr:sp macro="" textlink="">
      <xdr:nvSpPr>
        <xdr:cNvPr id="1136" name="Line 116">
          <a:extLst>
            <a:ext uri="{FF2B5EF4-FFF2-40B4-BE49-F238E27FC236}">
              <a16:creationId xmlns:a16="http://schemas.microsoft.com/office/drawing/2014/main" id="{00000000-0008-0000-0400-000070040000}"/>
            </a:ext>
          </a:extLst>
        </xdr:cNvPr>
        <xdr:cNvSpPr>
          <a:spLocks noChangeShapeType="1"/>
        </xdr:cNvSpPr>
      </xdr:nvSpPr>
      <xdr:spPr bwMode="auto">
        <a:xfrm>
          <a:off x="1133475" y="5181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16</xdr:row>
      <xdr:rowOff>0</xdr:rowOff>
    </xdr:from>
    <xdr:to>
      <xdr:col>0</xdr:col>
      <xdr:colOff>1133475</xdr:colOff>
      <xdr:row>16</xdr:row>
      <xdr:rowOff>0</xdr:rowOff>
    </xdr:to>
    <xdr:sp macro="" textlink="">
      <xdr:nvSpPr>
        <xdr:cNvPr id="1137" name="Line 117">
          <a:extLst>
            <a:ext uri="{FF2B5EF4-FFF2-40B4-BE49-F238E27FC236}">
              <a16:creationId xmlns:a16="http://schemas.microsoft.com/office/drawing/2014/main" id="{00000000-0008-0000-0400-000071040000}"/>
            </a:ext>
          </a:extLst>
        </xdr:cNvPr>
        <xdr:cNvSpPr>
          <a:spLocks noChangeShapeType="1"/>
        </xdr:cNvSpPr>
      </xdr:nvSpPr>
      <xdr:spPr bwMode="auto">
        <a:xfrm>
          <a:off x="1133475" y="5181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16</xdr:row>
      <xdr:rowOff>0</xdr:rowOff>
    </xdr:from>
    <xdr:to>
      <xdr:col>0</xdr:col>
      <xdr:colOff>1133475</xdr:colOff>
      <xdr:row>16</xdr:row>
      <xdr:rowOff>0</xdr:rowOff>
    </xdr:to>
    <xdr:sp macro="" textlink="">
      <xdr:nvSpPr>
        <xdr:cNvPr id="1138" name="Line 118">
          <a:extLst>
            <a:ext uri="{FF2B5EF4-FFF2-40B4-BE49-F238E27FC236}">
              <a16:creationId xmlns:a16="http://schemas.microsoft.com/office/drawing/2014/main" id="{00000000-0008-0000-0400-000072040000}"/>
            </a:ext>
          </a:extLst>
        </xdr:cNvPr>
        <xdr:cNvSpPr>
          <a:spLocks noChangeShapeType="1"/>
        </xdr:cNvSpPr>
      </xdr:nvSpPr>
      <xdr:spPr bwMode="auto">
        <a:xfrm>
          <a:off x="1133475" y="5181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16</xdr:row>
      <xdr:rowOff>0</xdr:rowOff>
    </xdr:from>
    <xdr:to>
      <xdr:col>0</xdr:col>
      <xdr:colOff>1133475</xdr:colOff>
      <xdr:row>16</xdr:row>
      <xdr:rowOff>0</xdr:rowOff>
    </xdr:to>
    <xdr:sp macro="" textlink="">
      <xdr:nvSpPr>
        <xdr:cNvPr id="1139" name="Line 119">
          <a:extLst>
            <a:ext uri="{FF2B5EF4-FFF2-40B4-BE49-F238E27FC236}">
              <a16:creationId xmlns:a16="http://schemas.microsoft.com/office/drawing/2014/main" id="{00000000-0008-0000-0400-000073040000}"/>
            </a:ext>
          </a:extLst>
        </xdr:cNvPr>
        <xdr:cNvSpPr>
          <a:spLocks noChangeShapeType="1"/>
        </xdr:cNvSpPr>
      </xdr:nvSpPr>
      <xdr:spPr bwMode="auto">
        <a:xfrm>
          <a:off x="1133475" y="5181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16</xdr:row>
      <xdr:rowOff>0</xdr:rowOff>
    </xdr:from>
    <xdr:to>
      <xdr:col>0</xdr:col>
      <xdr:colOff>1133475</xdr:colOff>
      <xdr:row>16</xdr:row>
      <xdr:rowOff>0</xdr:rowOff>
    </xdr:to>
    <xdr:sp macro="" textlink="">
      <xdr:nvSpPr>
        <xdr:cNvPr id="1140" name="Line 120">
          <a:extLst>
            <a:ext uri="{FF2B5EF4-FFF2-40B4-BE49-F238E27FC236}">
              <a16:creationId xmlns:a16="http://schemas.microsoft.com/office/drawing/2014/main" id="{00000000-0008-0000-0400-000074040000}"/>
            </a:ext>
          </a:extLst>
        </xdr:cNvPr>
        <xdr:cNvSpPr>
          <a:spLocks noChangeShapeType="1"/>
        </xdr:cNvSpPr>
      </xdr:nvSpPr>
      <xdr:spPr bwMode="auto">
        <a:xfrm>
          <a:off x="1133475" y="5181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16</xdr:row>
      <xdr:rowOff>9525</xdr:rowOff>
    </xdr:from>
    <xdr:to>
      <xdr:col>0</xdr:col>
      <xdr:colOff>1133475</xdr:colOff>
      <xdr:row>16</xdr:row>
      <xdr:rowOff>9525</xdr:rowOff>
    </xdr:to>
    <xdr:sp macro="" textlink="">
      <xdr:nvSpPr>
        <xdr:cNvPr id="1141" name="Line 121">
          <a:extLst>
            <a:ext uri="{FF2B5EF4-FFF2-40B4-BE49-F238E27FC236}">
              <a16:creationId xmlns:a16="http://schemas.microsoft.com/office/drawing/2014/main" id="{00000000-0008-0000-0400-000075040000}"/>
            </a:ext>
          </a:extLst>
        </xdr:cNvPr>
        <xdr:cNvSpPr>
          <a:spLocks noChangeShapeType="1"/>
        </xdr:cNvSpPr>
      </xdr:nvSpPr>
      <xdr:spPr bwMode="auto">
        <a:xfrm>
          <a:off x="1133475" y="5191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16</xdr:row>
      <xdr:rowOff>9525</xdr:rowOff>
    </xdr:from>
    <xdr:to>
      <xdr:col>0</xdr:col>
      <xdr:colOff>1133475</xdr:colOff>
      <xdr:row>16</xdr:row>
      <xdr:rowOff>9525</xdr:rowOff>
    </xdr:to>
    <xdr:sp macro="" textlink="">
      <xdr:nvSpPr>
        <xdr:cNvPr id="1142" name="Line 122">
          <a:extLst>
            <a:ext uri="{FF2B5EF4-FFF2-40B4-BE49-F238E27FC236}">
              <a16:creationId xmlns:a16="http://schemas.microsoft.com/office/drawing/2014/main" id="{00000000-0008-0000-0400-000076040000}"/>
            </a:ext>
          </a:extLst>
        </xdr:cNvPr>
        <xdr:cNvSpPr>
          <a:spLocks noChangeShapeType="1"/>
        </xdr:cNvSpPr>
      </xdr:nvSpPr>
      <xdr:spPr bwMode="auto">
        <a:xfrm>
          <a:off x="1133475" y="5191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17</xdr:row>
      <xdr:rowOff>0</xdr:rowOff>
    </xdr:from>
    <xdr:to>
      <xdr:col>0</xdr:col>
      <xdr:colOff>1133475</xdr:colOff>
      <xdr:row>17</xdr:row>
      <xdr:rowOff>0</xdr:rowOff>
    </xdr:to>
    <xdr:sp macro="" textlink="">
      <xdr:nvSpPr>
        <xdr:cNvPr id="1143" name="Line 123">
          <a:extLst>
            <a:ext uri="{FF2B5EF4-FFF2-40B4-BE49-F238E27FC236}">
              <a16:creationId xmlns:a16="http://schemas.microsoft.com/office/drawing/2014/main" id="{00000000-0008-0000-0400-000077040000}"/>
            </a:ext>
          </a:extLst>
        </xdr:cNvPr>
        <xdr:cNvSpPr>
          <a:spLocks noChangeShapeType="1"/>
        </xdr:cNvSpPr>
      </xdr:nvSpPr>
      <xdr:spPr bwMode="auto">
        <a:xfrm>
          <a:off x="1133475" y="5505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17</xdr:row>
      <xdr:rowOff>0</xdr:rowOff>
    </xdr:from>
    <xdr:to>
      <xdr:col>0</xdr:col>
      <xdr:colOff>1133475</xdr:colOff>
      <xdr:row>17</xdr:row>
      <xdr:rowOff>0</xdr:rowOff>
    </xdr:to>
    <xdr:sp macro="" textlink="">
      <xdr:nvSpPr>
        <xdr:cNvPr id="1144" name="Line 124">
          <a:extLst>
            <a:ext uri="{FF2B5EF4-FFF2-40B4-BE49-F238E27FC236}">
              <a16:creationId xmlns:a16="http://schemas.microsoft.com/office/drawing/2014/main" id="{00000000-0008-0000-0400-000078040000}"/>
            </a:ext>
          </a:extLst>
        </xdr:cNvPr>
        <xdr:cNvSpPr>
          <a:spLocks noChangeShapeType="1"/>
        </xdr:cNvSpPr>
      </xdr:nvSpPr>
      <xdr:spPr bwMode="auto">
        <a:xfrm>
          <a:off x="1133475" y="5505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17</xdr:row>
      <xdr:rowOff>0</xdr:rowOff>
    </xdr:from>
    <xdr:to>
      <xdr:col>0</xdr:col>
      <xdr:colOff>1133475</xdr:colOff>
      <xdr:row>17</xdr:row>
      <xdr:rowOff>0</xdr:rowOff>
    </xdr:to>
    <xdr:sp macro="" textlink="">
      <xdr:nvSpPr>
        <xdr:cNvPr id="1145" name="Line 125">
          <a:extLst>
            <a:ext uri="{FF2B5EF4-FFF2-40B4-BE49-F238E27FC236}">
              <a16:creationId xmlns:a16="http://schemas.microsoft.com/office/drawing/2014/main" id="{00000000-0008-0000-0400-000079040000}"/>
            </a:ext>
          </a:extLst>
        </xdr:cNvPr>
        <xdr:cNvSpPr>
          <a:spLocks noChangeShapeType="1"/>
        </xdr:cNvSpPr>
      </xdr:nvSpPr>
      <xdr:spPr bwMode="auto">
        <a:xfrm>
          <a:off x="1133475" y="5505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17</xdr:row>
      <xdr:rowOff>0</xdr:rowOff>
    </xdr:from>
    <xdr:to>
      <xdr:col>0</xdr:col>
      <xdr:colOff>1133475</xdr:colOff>
      <xdr:row>17</xdr:row>
      <xdr:rowOff>0</xdr:rowOff>
    </xdr:to>
    <xdr:sp macro="" textlink="">
      <xdr:nvSpPr>
        <xdr:cNvPr id="1146" name="Line 126">
          <a:extLst>
            <a:ext uri="{FF2B5EF4-FFF2-40B4-BE49-F238E27FC236}">
              <a16:creationId xmlns:a16="http://schemas.microsoft.com/office/drawing/2014/main" id="{00000000-0008-0000-0400-00007A040000}"/>
            </a:ext>
          </a:extLst>
        </xdr:cNvPr>
        <xdr:cNvSpPr>
          <a:spLocks noChangeShapeType="1"/>
        </xdr:cNvSpPr>
      </xdr:nvSpPr>
      <xdr:spPr bwMode="auto">
        <a:xfrm>
          <a:off x="1133475" y="5505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17</xdr:row>
      <xdr:rowOff>0</xdr:rowOff>
    </xdr:from>
    <xdr:to>
      <xdr:col>0</xdr:col>
      <xdr:colOff>1133475</xdr:colOff>
      <xdr:row>17</xdr:row>
      <xdr:rowOff>0</xdr:rowOff>
    </xdr:to>
    <xdr:sp macro="" textlink="">
      <xdr:nvSpPr>
        <xdr:cNvPr id="1147" name="Line 127">
          <a:extLst>
            <a:ext uri="{FF2B5EF4-FFF2-40B4-BE49-F238E27FC236}">
              <a16:creationId xmlns:a16="http://schemas.microsoft.com/office/drawing/2014/main" id="{00000000-0008-0000-0400-00007B040000}"/>
            </a:ext>
          </a:extLst>
        </xdr:cNvPr>
        <xdr:cNvSpPr>
          <a:spLocks noChangeShapeType="1"/>
        </xdr:cNvSpPr>
      </xdr:nvSpPr>
      <xdr:spPr bwMode="auto">
        <a:xfrm>
          <a:off x="1133475" y="5505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17</xdr:row>
      <xdr:rowOff>0</xdr:rowOff>
    </xdr:from>
    <xdr:to>
      <xdr:col>0</xdr:col>
      <xdr:colOff>1133475</xdr:colOff>
      <xdr:row>17</xdr:row>
      <xdr:rowOff>0</xdr:rowOff>
    </xdr:to>
    <xdr:sp macro="" textlink="">
      <xdr:nvSpPr>
        <xdr:cNvPr id="1148" name="Line 128">
          <a:extLst>
            <a:ext uri="{FF2B5EF4-FFF2-40B4-BE49-F238E27FC236}">
              <a16:creationId xmlns:a16="http://schemas.microsoft.com/office/drawing/2014/main" id="{00000000-0008-0000-0400-00007C040000}"/>
            </a:ext>
          </a:extLst>
        </xdr:cNvPr>
        <xdr:cNvSpPr>
          <a:spLocks noChangeShapeType="1"/>
        </xdr:cNvSpPr>
      </xdr:nvSpPr>
      <xdr:spPr bwMode="auto">
        <a:xfrm>
          <a:off x="1133475" y="5505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17</xdr:row>
      <xdr:rowOff>0</xdr:rowOff>
    </xdr:from>
    <xdr:to>
      <xdr:col>0</xdr:col>
      <xdr:colOff>1133475</xdr:colOff>
      <xdr:row>17</xdr:row>
      <xdr:rowOff>0</xdr:rowOff>
    </xdr:to>
    <xdr:sp macro="" textlink="">
      <xdr:nvSpPr>
        <xdr:cNvPr id="1149" name="Line 129">
          <a:extLst>
            <a:ext uri="{FF2B5EF4-FFF2-40B4-BE49-F238E27FC236}">
              <a16:creationId xmlns:a16="http://schemas.microsoft.com/office/drawing/2014/main" id="{00000000-0008-0000-0400-00007D040000}"/>
            </a:ext>
          </a:extLst>
        </xdr:cNvPr>
        <xdr:cNvSpPr>
          <a:spLocks noChangeShapeType="1"/>
        </xdr:cNvSpPr>
      </xdr:nvSpPr>
      <xdr:spPr bwMode="auto">
        <a:xfrm>
          <a:off x="1133475" y="5505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17</xdr:row>
      <xdr:rowOff>0</xdr:rowOff>
    </xdr:from>
    <xdr:to>
      <xdr:col>0</xdr:col>
      <xdr:colOff>1133475</xdr:colOff>
      <xdr:row>17</xdr:row>
      <xdr:rowOff>0</xdr:rowOff>
    </xdr:to>
    <xdr:sp macro="" textlink="">
      <xdr:nvSpPr>
        <xdr:cNvPr id="1150" name="Line 130">
          <a:extLst>
            <a:ext uri="{FF2B5EF4-FFF2-40B4-BE49-F238E27FC236}">
              <a16:creationId xmlns:a16="http://schemas.microsoft.com/office/drawing/2014/main" id="{00000000-0008-0000-0400-00007E040000}"/>
            </a:ext>
          </a:extLst>
        </xdr:cNvPr>
        <xdr:cNvSpPr>
          <a:spLocks noChangeShapeType="1"/>
        </xdr:cNvSpPr>
      </xdr:nvSpPr>
      <xdr:spPr bwMode="auto">
        <a:xfrm>
          <a:off x="1133475" y="5505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17</xdr:row>
      <xdr:rowOff>9525</xdr:rowOff>
    </xdr:from>
    <xdr:to>
      <xdr:col>0</xdr:col>
      <xdr:colOff>1133475</xdr:colOff>
      <xdr:row>17</xdr:row>
      <xdr:rowOff>9525</xdr:rowOff>
    </xdr:to>
    <xdr:sp macro="" textlink="">
      <xdr:nvSpPr>
        <xdr:cNvPr id="1151" name="Line 131">
          <a:extLst>
            <a:ext uri="{FF2B5EF4-FFF2-40B4-BE49-F238E27FC236}">
              <a16:creationId xmlns:a16="http://schemas.microsoft.com/office/drawing/2014/main" id="{00000000-0008-0000-0400-00007F040000}"/>
            </a:ext>
          </a:extLst>
        </xdr:cNvPr>
        <xdr:cNvSpPr>
          <a:spLocks noChangeShapeType="1"/>
        </xdr:cNvSpPr>
      </xdr:nvSpPr>
      <xdr:spPr bwMode="auto">
        <a:xfrm>
          <a:off x="1133475" y="5514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17</xdr:row>
      <xdr:rowOff>9525</xdr:rowOff>
    </xdr:from>
    <xdr:to>
      <xdr:col>0</xdr:col>
      <xdr:colOff>1133475</xdr:colOff>
      <xdr:row>17</xdr:row>
      <xdr:rowOff>9525</xdr:rowOff>
    </xdr:to>
    <xdr:sp macro="" textlink="">
      <xdr:nvSpPr>
        <xdr:cNvPr id="1152" name="Line 132">
          <a:extLst>
            <a:ext uri="{FF2B5EF4-FFF2-40B4-BE49-F238E27FC236}">
              <a16:creationId xmlns:a16="http://schemas.microsoft.com/office/drawing/2014/main" id="{00000000-0008-0000-0400-000080040000}"/>
            </a:ext>
          </a:extLst>
        </xdr:cNvPr>
        <xdr:cNvSpPr>
          <a:spLocks noChangeShapeType="1"/>
        </xdr:cNvSpPr>
      </xdr:nvSpPr>
      <xdr:spPr bwMode="auto">
        <a:xfrm>
          <a:off x="1133475" y="5514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18</xdr:row>
      <xdr:rowOff>0</xdr:rowOff>
    </xdr:from>
    <xdr:to>
      <xdr:col>0</xdr:col>
      <xdr:colOff>1133475</xdr:colOff>
      <xdr:row>18</xdr:row>
      <xdr:rowOff>0</xdr:rowOff>
    </xdr:to>
    <xdr:sp macro="" textlink="">
      <xdr:nvSpPr>
        <xdr:cNvPr id="1153" name="Line 133">
          <a:extLst>
            <a:ext uri="{FF2B5EF4-FFF2-40B4-BE49-F238E27FC236}">
              <a16:creationId xmlns:a16="http://schemas.microsoft.com/office/drawing/2014/main" id="{00000000-0008-0000-0400-000081040000}"/>
            </a:ext>
          </a:extLst>
        </xdr:cNvPr>
        <xdr:cNvSpPr>
          <a:spLocks noChangeShapeType="1"/>
        </xdr:cNvSpPr>
      </xdr:nvSpPr>
      <xdr:spPr bwMode="auto">
        <a:xfrm>
          <a:off x="1133475" y="5829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18</xdr:row>
      <xdr:rowOff>0</xdr:rowOff>
    </xdr:from>
    <xdr:to>
      <xdr:col>0</xdr:col>
      <xdr:colOff>1133475</xdr:colOff>
      <xdr:row>18</xdr:row>
      <xdr:rowOff>0</xdr:rowOff>
    </xdr:to>
    <xdr:sp macro="" textlink="">
      <xdr:nvSpPr>
        <xdr:cNvPr id="1154" name="Line 134">
          <a:extLst>
            <a:ext uri="{FF2B5EF4-FFF2-40B4-BE49-F238E27FC236}">
              <a16:creationId xmlns:a16="http://schemas.microsoft.com/office/drawing/2014/main" id="{00000000-0008-0000-0400-000082040000}"/>
            </a:ext>
          </a:extLst>
        </xdr:cNvPr>
        <xdr:cNvSpPr>
          <a:spLocks noChangeShapeType="1"/>
        </xdr:cNvSpPr>
      </xdr:nvSpPr>
      <xdr:spPr bwMode="auto">
        <a:xfrm>
          <a:off x="1133475" y="5829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18</xdr:row>
      <xdr:rowOff>0</xdr:rowOff>
    </xdr:from>
    <xdr:to>
      <xdr:col>0</xdr:col>
      <xdr:colOff>1133475</xdr:colOff>
      <xdr:row>18</xdr:row>
      <xdr:rowOff>0</xdr:rowOff>
    </xdr:to>
    <xdr:sp macro="" textlink="">
      <xdr:nvSpPr>
        <xdr:cNvPr id="1155" name="Line 135">
          <a:extLst>
            <a:ext uri="{FF2B5EF4-FFF2-40B4-BE49-F238E27FC236}">
              <a16:creationId xmlns:a16="http://schemas.microsoft.com/office/drawing/2014/main" id="{00000000-0008-0000-0400-000083040000}"/>
            </a:ext>
          </a:extLst>
        </xdr:cNvPr>
        <xdr:cNvSpPr>
          <a:spLocks noChangeShapeType="1"/>
        </xdr:cNvSpPr>
      </xdr:nvSpPr>
      <xdr:spPr bwMode="auto">
        <a:xfrm>
          <a:off x="1133475" y="5829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18</xdr:row>
      <xdr:rowOff>0</xdr:rowOff>
    </xdr:from>
    <xdr:to>
      <xdr:col>0</xdr:col>
      <xdr:colOff>1133475</xdr:colOff>
      <xdr:row>18</xdr:row>
      <xdr:rowOff>0</xdr:rowOff>
    </xdr:to>
    <xdr:sp macro="" textlink="">
      <xdr:nvSpPr>
        <xdr:cNvPr id="1156" name="Line 136">
          <a:extLst>
            <a:ext uri="{FF2B5EF4-FFF2-40B4-BE49-F238E27FC236}">
              <a16:creationId xmlns:a16="http://schemas.microsoft.com/office/drawing/2014/main" id="{00000000-0008-0000-0400-000084040000}"/>
            </a:ext>
          </a:extLst>
        </xdr:cNvPr>
        <xdr:cNvSpPr>
          <a:spLocks noChangeShapeType="1"/>
        </xdr:cNvSpPr>
      </xdr:nvSpPr>
      <xdr:spPr bwMode="auto">
        <a:xfrm>
          <a:off x="1133475" y="5829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18</xdr:row>
      <xdr:rowOff>0</xdr:rowOff>
    </xdr:from>
    <xdr:to>
      <xdr:col>0</xdr:col>
      <xdr:colOff>1133475</xdr:colOff>
      <xdr:row>18</xdr:row>
      <xdr:rowOff>0</xdr:rowOff>
    </xdr:to>
    <xdr:sp macro="" textlink="">
      <xdr:nvSpPr>
        <xdr:cNvPr id="1157" name="Line 137">
          <a:extLst>
            <a:ext uri="{FF2B5EF4-FFF2-40B4-BE49-F238E27FC236}">
              <a16:creationId xmlns:a16="http://schemas.microsoft.com/office/drawing/2014/main" id="{00000000-0008-0000-0400-000085040000}"/>
            </a:ext>
          </a:extLst>
        </xdr:cNvPr>
        <xdr:cNvSpPr>
          <a:spLocks noChangeShapeType="1"/>
        </xdr:cNvSpPr>
      </xdr:nvSpPr>
      <xdr:spPr bwMode="auto">
        <a:xfrm>
          <a:off x="1133475" y="5829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18</xdr:row>
      <xdr:rowOff>0</xdr:rowOff>
    </xdr:from>
    <xdr:to>
      <xdr:col>0</xdr:col>
      <xdr:colOff>1133475</xdr:colOff>
      <xdr:row>18</xdr:row>
      <xdr:rowOff>0</xdr:rowOff>
    </xdr:to>
    <xdr:sp macro="" textlink="">
      <xdr:nvSpPr>
        <xdr:cNvPr id="1158" name="Line 138">
          <a:extLst>
            <a:ext uri="{FF2B5EF4-FFF2-40B4-BE49-F238E27FC236}">
              <a16:creationId xmlns:a16="http://schemas.microsoft.com/office/drawing/2014/main" id="{00000000-0008-0000-0400-000086040000}"/>
            </a:ext>
          </a:extLst>
        </xdr:cNvPr>
        <xdr:cNvSpPr>
          <a:spLocks noChangeShapeType="1"/>
        </xdr:cNvSpPr>
      </xdr:nvSpPr>
      <xdr:spPr bwMode="auto">
        <a:xfrm>
          <a:off x="1133475" y="5829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18</xdr:row>
      <xdr:rowOff>0</xdr:rowOff>
    </xdr:from>
    <xdr:to>
      <xdr:col>0</xdr:col>
      <xdr:colOff>1133475</xdr:colOff>
      <xdr:row>18</xdr:row>
      <xdr:rowOff>0</xdr:rowOff>
    </xdr:to>
    <xdr:sp macro="" textlink="">
      <xdr:nvSpPr>
        <xdr:cNvPr id="1159" name="Line 139">
          <a:extLst>
            <a:ext uri="{FF2B5EF4-FFF2-40B4-BE49-F238E27FC236}">
              <a16:creationId xmlns:a16="http://schemas.microsoft.com/office/drawing/2014/main" id="{00000000-0008-0000-0400-000087040000}"/>
            </a:ext>
          </a:extLst>
        </xdr:cNvPr>
        <xdr:cNvSpPr>
          <a:spLocks noChangeShapeType="1"/>
        </xdr:cNvSpPr>
      </xdr:nvSpPr>
      <xdr:spPr bwMode="auto">
        <a:xfrm>
          <a:off x="1133475" y="5829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18</xdr:row>
      <xdr:rowOff>0</xdr:rowOff>
    </xdr:from>
    <xdr:to>
      <xdr:col>0</xdr:col>
      <xdr:colOff>1133475</xdr:colOff>
      <xdr:row>18</xdr:row>
      <xdr:rowOff>0</xdr:rowOff>
    </xdr:to>
    <xdr:sp macro="" textlink="">
      <xdr:nvSpPr>
        <xdr:cNvPr id="1160" name="Line 140">
          <a:extLst>
            <a:ext uri="{FF2B5EF4-FFF2-40B4-BE49-F238E27FC236}">
              <a16:creationId xmlns:a16="http://schemas.microsoft.com/office/drawing/2014/main" id="{00000000-0008-0000-0400-000088040000}"/>
            </a:ext>
          </a:extLst>
        </xdr:cNvPr>
        <xdr:cNvSpPr>
          <a:spLocks noChangeShapeType="1"/>
        </xdr:cNvSpPr>
      </xdr:nvSpPr>
      <xdr:spPr bwMode="auto">
        <a:xfrm>
          <a:off x="1133475" y="5829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18</xdr:row>
      <xdr:rowOff>9525</xdr:rowOff>
    </xdr:from>
    <xdr:to>
      <xdr:col>0</xdr:col>
      <xdr:colOff>1133475</xdr:colOff>
      <xdr:row>18</xdr:row>
      <xdr:rowOff>9525</xdr:rowOff>
    </xdr:to>
    <xdr:sp macro="" textlink="">
      <xdr:nvSpPr>
        <xdr:cNvPr id="1161" name="Line 141">
          <a:extLst>
            <a:ext uri="{FF2B5EF4-FFF2-40B4-BE49-F238E27FC236}">
              <a16:creationId xmlns:a16="http://schemas.microsoft.com/office/drawing/2014/main" id="{00000000-0008-0000-0400-000089040000}"/>
            </a:ext>
          </a:extLst>
        </xdr:cNvPr>
        <xdr:cNvSpPr>
          <a:spLocks noChangeShapeType="1"/>
        </xdr:cNvSpPr>
      </xdr:nvSpPr>
      <xdr:spPr bwMode="auto">
        <a:xfrm>
          <a:off x="1133475" y="583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18</xdr:row>
      <xdr:rowOff>9525</xdr:rowOff>
    </xdr:from>
    <xdr:to>
      <xdr:col>0</xdr:col>
      <xdr:colOff>1133475</xdr:colOff>
      <xdr:row>18</xdr:row>
      <xdr:rowOff>9525</xdr:rowOff>
    </xdr:to>
    <xdr:sp macro="" textlink="">
      <xdr:nvSpPr>
        <xdr:cNvPr id="1162" name="Line 142">
          <a:extLst>
            <a:ext uri="{FF2B5EF4-FFF2-40B4-BE49-F238E27FC236}">
              <a16:creationId xmlns:a16="http://schemas.microsoft.com/office/drawing/2014/main" id="{00000000-0008-0000-0400-00008A040000}"/>
            </a:ext>
          </a:extLst>
        </xdr:cNvPr>
        <xdr:cNvSpPr>
          <a:spLocks noChangeShapeType="1"/>
        </xdr:cNvSpPr>
      </xdr:nvSpPr>
      <xdr:spPr bwMode="auto">
        <a:xfrm>
          <a:off x="1133475" y="583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19</xdr:row>
      <xdr:rowOff>0</xdr:rowOff>
    </xdr:from>
    <xdr:to>
      <xdr:col>0</xdr:col>
      <xdr:colOff>1133475</xdr:colOff>
      <xdr:row>19</xdr:row>
      <xdr:rowOff>0</xdr:rowOff>
    </xdr:to>
    <xdr:sp macro="" textlink="">
      <xdr:nvSpPr>
        <xdr:cNvPr id="1163" name="Line 143">
          <a:extLst>
            <a:ext uri="{FF2B5EF4-FFF2-40B4-BE49-F238E27FC236}">
              <a16:creationId xmlns:a16="http://schemas.microsoft.com/office/drawing/2014/main" id="{00000000-0008-0000-0400-00008B040000}"/>
            </a:ext>
          </a:extLst>
        </xdr:cNvPr>
        <xdr:cNvSpPr>
          <a:spLocks noChangeShapeType="1"/>
        </xdr:cNvSpPr>
      </xdr:nvSpPr>
      <xdr:spPr bwMode="auto">
        <a:xfrm>
          <a:off x="1133475" y="615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19</xdr:row>
      <xdr:rowOff>0</xdr:rowOff>
    </xdr:from>
    <xdr:to>
      <xdr:col>0</xdr:col>
      <xdr:colOff>1133475</xdr:colOff>
      <xdr:row>19</xdr:row>
      <xdr:rowOff>0</xdr:rowOff>
    </xdr:to>
    <xdr:sp macro="" textlink="">
      <xdr:nvSpPr>
        <xdr:cNvPr id="1164" name="Line 144">
          <a:extLst>
            <a:ext uri="{FF2B5EF4-FFF2-40B4-BE49-F238E27FC236}">
              <a16:creationId xmlns:a16="http://schemas.microsoft.com/office/drawing/2014/main" id="{00000000-0008-0000-0400-00008C040000}"/>
            </a:ext>
          </a:extLst>
        </xdr:cNvPr>
        <xdr:cNvSpPr>
          <a:spLocks noChangeShapeType="1"/>
        </xdr:cNvSpPr>
      </xdr:nvSpPr>
      <xdr:spPr bwMode="auto">
        <a:xfrm>
          <a:off x="1133475" y="615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19</xdr:row>
      <xdr:rowOff>0</xdr:rowOff>
    </xdr:from>
    <xdr:to>
      <xdr:col>0</xdr:col>
      <xdr:colOff>1133475</xdr:colOff>
      <xdr:row>19</xdr:row>
      <xdr:rowOff>0</xdr:rowOff>
    </xdr:to>
    <xdr:sp macro="" textlink="">
      <xdr:nvSpPr>
        <xdr:cNvPr id="1165" name="Line 145">
          <a:extLst>
            <a:ext uri="{FF2B5EF4-FFF2-40B4-BE49-F238E27FC236}">
              <a16:creationId xmlns:a16="http://schemas.microsoft.com/office/drawing/2014/main" id="{00000000-0008-0000-0400-00008D040000}"/>
            </a:ext>
          </a:extLst>
        </xdr:cNvPr>
        <xdr:cNvSpPr>
          <a:spLocks noChangeShapeType="1"/>
        </xdr:cNvSpPr>
      </xdr:nvSpPr>
      <xdr:spPr bwMode="auto">
        <a:xfrm>
          <a:off x="1133475" y="615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19</xdr:row>
      <xdr:rowOff>0</xdr:rowOff>
    </xdr:from>
    <xdr:to>
      <xdr:col>0</xdr:col>
      <xdr:colOff>1133475</xdr:colOff>
      <xdr:row>19</xdr:row>
      <xdr:rowOff>0</xdr:rowOff>
    </xdr:to>
    <xdr:sp macro="" textlink="">
      <xdr:nvSpPr>
        <xdr:cNvPr id="1166" name="Line 146">
          <a:extLst>
            <a:ext uri="{FF2B5EF4-FFF2-40B4-BE49-F238E27FC236}">
              <a16:creationId xmlns:a16="http://schemas.microsoft.com/office/drawing/2014/main" id="{00000000-0008-0000-0400-00008E040000}"/>
            </a:ext>
          </a:extLst>
        </xdr:cNvPr>
        <xdr:cNvSpPr>
          <a:spLocks noChangeShapeType="1"/>
        </xdr:cNvSpPr>
      </xdr:nvSpPr>
      <xdr:spPr bwMode="auto">
        <a:xfrm>
          <a:off x="1133475" y="615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19</xdr:row>
      <xdr:rowOff>0</xdr:rowOff>
    </xdr:from>
    <xdr:to>
      <xdr:col>0</xdr:col>
      <xdr:colOff>1133475</xdr:colOff>
      <xdr:row>19</xdr:row>
      <xdr:rowOff>0</xdr:rowOff>
    </xdr:to>
    <xdr:sp macro="" textlink="">
      <xdr:nvSpPr>
        <xdr:cNvPr id="1167" name="Line 147">
          <a:extLst>
            <a:ext uri="{FF2B5EF4-FFF2-40B4-BE49-F238E27FC236}">
              <a16:creationId xmlns:a16="http://schemas.microsoft.com/office/drawing/2014/main" id="{00000000-0008-0000-0400-00008F040000}"/>
            </a:ext>
          </a:extLst>
        </xdr:cNvPr>
        <xdr:cNvSpPr>
          <a:spLocks noChangeShapeType="1"/>
        </xdr:cNvSpPr>
      </xdr:nvSpPr>
      <xdr:spPr bwMode="auto">
        <a:xfrm>
          <a:off x="1133475" y="615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19</xdr:row>
      <xdr:rowOff>0</xdr:rowOff>
    </xdr:from>
    <xdr:to>
      <xdr:col>0</xdr:col>
      <xdr:colOff>1133475</xdr:colOff>
      <xdr:row>19</xdr:row>
      <xdr:rowOff>0</xdr:rowOff>
    </xdr:to>
    <xdr:sp macro="" textlink="">
      <xdr:nvSpPr>
        <xdr:cNvPr id="1168" name="Line 148">
          <a:extLst>
            <a:ext uri="{FF2B5EF4-FFF2-40B4-BE49-F238E27FC236}">
              <a16:creationId xmlns:a16="http://schemas.microsoft.com/office/drawing/2014/main" id="{00000000-0008-0000-0400-000090040000}"/>
            </a:ext>
          </a:extLst>
        </xdr:cNvPr>
        <xdr:cNvSpPr>
          <a:spLocks noChangeShapeType="1"/>
        </xdr:cNvSpPr>
      </xdr:nvSpPr>
      <xdr:spPr bwMode="auto">
        <a:xfrm>
          <a:off x="1133475" y="615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19</xdr:row>
      <xdr:rowOff>0</xdr:rowOff>
    </xdr:from>
    <xdr:to>
      <xdr:col>0</xdr:col>
      <xdr:colOff>1133475</xdr:colOff>
      <xdr:row>19</xdr:row>
      <xdr:rowOff>0</xdr:rowOff>
    </xdr:to>
    <xdr:sp macro="" textlink="">
      <xdr:nvSpPr>
        <xdr:cNvPr id="1169" name="Line 149">
          <a:extLst>
            <a:ext uri="{FF2B5EF4-FFF2-40B4-BE49-F238E27FC236}">
              <a16:creationId xmlns:a16="http://schemas.microsoft.com/office/drawing/2014/main" id="{00000000-0008-0000-0400-000091040000}"/>
            </a:ext>
          </a:extLst>
        </xdr:cNvPr>
        <xdr:cNvSpPr>
          <a:spLocks noChangeShapeType="1"/>
        </xdr:cNvSpPr>
      </xdr:nvSpPr>
      <xdr:spPr bwMode="auto">
        <a:xfrm>
          <a:off x="1133475" y="615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19</xdr:row>
      <xdr:rowOff>0</xdr:rowOff>
    </xdr:from>
    <xdr:to>
      <xdr:col>0</xdr:col>
      <xdr:colOff>1133475</xdr:colOff>
      <xdr:row>19</xdr:row>
      <xdr:rowOff>0</xdr:rowOff>
    </xdr:to>
    <xdr:sp macro="" textlink="">
      <xdr:nvSpPr>
        <xdr:cNvPr id="1170" name="Line 150">
          <a:extLst>
            <a:ext uri="{FF2B5EF4-FFF2-40B4-BE49-F238E27FC236}">
              <a16:creationId xmlns:a16="http://schemas.microsoft.com/office/drawing/2014/main" id="{00000000-0008-0000-0400-000092040000}"/>
            </a:ext>
          </a:extLst>
        </xdr:cNvPr>
        <xdr:cNvSpPr>
          <a:spLocks noChangeShapeType="1"/>
        </xdr:cNvSpPr>
      </xdr:nvSpPr>
      <xdr:spPr bwMode="auto">
        <a:xfrm>
          <a:off x="1133475" y="615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19</xdr:row>
      <xdr:rowOff>0</xdr:rowOff>
    </xdr:from>
    <xdr:to>
      <xdr:col>0</xdr:col>
      <xdr:colOff>1133475</xdr:colOff>
      <xdr:row>19</xdr:row>
      <xdr:rowOff>0</xdr:rowOff>
    </xdr:to>
    <xdr:sp macro="" textlink="">
      <xdr:nvSpPr>
        <xdr:cNvPr id="1171" name="Line 151">
          <a:extLst>
            <a:ext uri="{FF2B5EF4-FFF2-40B4-BE49-F238E27FC236}">
              <a16:creationId xmlns:a16="http://schemas.microsoft.com/office/drawing/2014/main" id="{00000000-0008-0000-0400-000093040000}"/>
            </a:ext>
          </a:extLst>
        </xdr:cNvPr>
        <xdr:cNvSpPr>
          <a:spLocks noChangeShapeType="1"/>
        </xdr:cNvSpPr>
      </xdr:nvSpPr>
      <xdr:spPr bwMode="auto">
        <a:xfrm>
          <a:off x="1133475" y="615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19</xdr:row>
      <xdr:rowOff>0</xdr:rowOff>
    </xdr:from>
    <xdr:to>
      <xdr:col>0</xdr:col>
      <xdr:colOff>1133475</xdr:colOff>
      <xdr:row>19</xdr:row>
      <xdr:rowOff>0</xdr:rowOff>
    </xdr:to>
    <xdr:sp macro="" textlink="">
      <xdr:nvSpPr>
        <xdr:cNvPr id="1172" name="Line 152">
          <a:extLst>
            <a:ext uri="{FF2B5EF4-FFF2-40B4-BE49-F238E27FC236}">
              <a16:creationId xmlns:a16="http://schemas.microsoft.com/office/drawing/2014/main" id="{00000000-0008-0000-0400-000094040000}"/>
            </a:ext>
          </a:extLst>
        </xdr:cNvPr>
        <xdr:cNvSpPr>
          <a:spLocks noChangeShapeType="1"/>
        </xdr:cNvSpPr>
      </xdr:nvSpPr>
      <xdr:spPr bwMode="auto">
        <a:xfrm>
          <a:off x="1133475" y="615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19</xdr:row>
      <xdr:rowOff>0</xdr:rowOff>
    </xdr:from>
    <xdr:to>
      <xdr:col>0</xdr:col>
      <xdr:colOff>1133475</xdr:colOff>
      <xdr:row>19</xdr:row>
      <xdr:rowOff>0</xdr:rowOff>
    </xdr:to>
    <xdr:sp macro="" textlink="">
      <xdr:nvSpPr>
        <xdr:cNvPr id="1173" name="Line 153">
          <a:extLst>
            <a:ext uri="{FF2B5EF4-FFF2-40B4-BE49-F238E27FC236}">
              <a16:creationId xmlns:a16="http://schemas.microsoft.com/office/drawing/2014/main" id="{00000000-0008-0000-0400-000095040000}"/>
            </a:ext>
          </a:extLst>
        </xdr:cNvPr>
        <xdr:cNvSpPr>
          <a:spLocks noChangeShapeType="1"/>
        </xdr:cNvSpPr>
      </xdr:nvSpPr>
      <xdr:spPr bwMode="auto">
        <a:xfrm>
          <a:off x="1133475" y="615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19</xdr:row>
      <xdr:rowOff>0</xdr:rowOff>
    </xdr:from>
    <xdr:to>
      <xdr:col>0</xdr:col>
      <xdr:colOff>1133475</xdr:colOff>
      <xdr:row>19</xdr:row>
      <xdr:rowOff>0</xdr:rowOff>
    </xdr:to>
    <xdr:sp macro="" textlink="">
      <xdr:nvSpPr>
        <xdr:cNvPr id="1174" name="Line 154">
          <a:extLst>
            <a:ext uri="{FF2B5EF4-FFF2-40B4-BE49-F238E27FC236}">
              <a16:creationId xmlns:a16="http://schemas.microsoft.com/office/drawing/2014/main" id="{00000000-0008-0000-0400-000096040000}"/>
            </a:ext>
          </a:extLst>
        </xdr:cNvPr>
        <xdr:cNvSpPr>
          <a:spLocks noChangeShapeType="1"/>
        </xdr:cNvSpPr>
      </xdr:nvSpPr>
      <xdr:spPr bwMode="auto">
        <a:xfrm>
          <a:off x="1133475" y="615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19</xdr:row>
      <xdr:rowOff>0</xdr:rowOff>
    </xdr:from>
    <xdr:to>
      <xdr:col>0</xdr:col>
      <xdr:colOff>1133475</xdr:colOff>
      <xdr:row>19</xdr:row>
      <xdr:rowOff>0</xdr:rowOff>
    </xdr:to>
    <xdr:sp macro="" textlink="">
      <xdr:nvSpPr>
        <xdr:cNvPr id="1175" name="Line 155">
          <a:extLst>
            <a:ext uri="{FF2B5EF4-FFF2-40B4-BE49-F238E27FC236}">
              <a16:creationId xmlns:a16="http://schemas.microsoft.com/office/drawing/2014/main" id="{00000000-0008-0000-0400-000097040000}"/>
            </a:ext>
          </a:extLst>
        </xdr:cNvPr>
        <xdr:cNvSpPr>
          <a:spLocks noChangeShapeType="1"/>
        </xdr:cNvSpPr>
      </xdr:nvSpPr>
      <xdr:spPr bwMode="auto">
        <a:xfrm>
          <a:off x="1133475" y="615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19</xdr:row>
      <xdr:rowOff>0</xdr:rowOff>
    </xdr:from>
    <xdr:to>
      <xdr:col>0</xdr:col>
      <xdr:colOff>1133475</xdr:colOff>
      <xdr:row>19</xdr:row>
      <xdr:rowOff>0</xdr:rowOff>
    </xdr:to>
    <xdr:sp macro="" textlink="">
      <xdr:nvSpPr>
        <xdr:cNvPr id="1176" name="Line 156">
          <a:extLst>
            <a:ext uri="{FF2B5EF4-FFF2-40B4-BE49-F238E27FC236}">
              <a16:creationId xmlns:a16="http://schemas.microsoft.com/office/drawing/2014/main" id="{00000000-0008-0000-0400-000098040000}"/>
            </a:ext>
          </a:extLst>
        </xdr:cNvPr>
        <xdr:cNvSpPr>
          <a:spLocks noChangeShapeType="1"/>
        </xdr:cNvSpPr>
      </xdr:nvSpPr>
      <xdr:spPr bwMode="auto">
        <a:xfrm>
          <a:off x="1133475" y="615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19</xdr:row>
      <xdr:rowOff>0</xdr:rowOff>
    </xdr:from>
    <xdr:to>
      <xdr:col>0</xdr:col>
      <xdr:colOff>1133475</xdr:colOff>
      <xdr:row>19</xdr:row>
      <xdr:rowOff>0</xdr:rowOff>
    </xdr:to>
    <xdr:sp macro="" textlink="">
      <xdr:nvSpPr>
        <xdr:cNvPr id="1177" name="Line 157">
          <a:extLst>
            <a:ext uri="{FF2B5EF4-FFF2-40B4-BE49-F238E27FC236}">
              <a16:creationId xmlns:a16="http://schemas.microsoft.com/office/drawing/2014/main" id="{00000000-0008-0000-0400-000099040000}"/>
            </a:ext>
          </a:extLst>
        </xdr:cNvPr>
        <xdr:cNvSpPr>
          <a:spLocks noChangeShapeType="1"/>
        </xdr:cNvSpPr>
      </xdr:nvSpPr>
      <xdr:spPr bwMode="auto">
        <a:xfrm>
          <a:off x="1133475" y="615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19</xdr:row>
      <xdr:rowOff>0</xdr:rowOff>
    </xdr:from>
    <xdr:to>
      <xdr:col>0</xdr:col>
      <xdr:colOff>1133475</xdr:colOff>
      <xdr:row>19</xdr:row>
      <xdr:rowOff>0</xdr:rowOff>
    </xdr:to>
    <xdr:sp macro="" textlink="">
      <xdr:nvSpPr>
        <xdr:cNvPr id="1178" name="Line 158">
          <a:extLst>
            <a:ext uri="{FF2B5EF4-FFF2-40B4-BE49-F238E27FC236}">
              <a16:creationId xmlns:a16="http://schemas.microsoft.com/office/drawing/2014/main" id="{00000000-0008-0000-0400-00009A040000}"/>
            </a:ext>
          </a:extLst>
        </xdr:cNvPr>
        <xdr:cNvSpPr>
          <a:spLocks noChangeShapeType="1"/>
        </xdr:cNvSpPr>
      </xdr:nvSpPr>
      <xdr:spPr bwMode="auto">
        <a:xfrm>
          <a:off x="1133475" y="615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19</xdr:row>
      <xdr:rowOff>0</xdr:rowOff>
    </xdr:from>
    <xdr:to>
      <xdr:col>0</xdr:col>
      <xdr:colOff>1133475</xdr:colOff>
      <xdr:row>19</xdr:row>
      <xdr:rowOff>0</xdr:rowOff>
    </xdr:to>
    <xdr:sp macro="" textlink="">
      <xdr:nvSpPr>
        <xdr:cNvPr id="1179" name="Line 159">
          <a:extLst>
            <a:ext uri="{FF2B5EF4-FFF2-40B4-BE49-F238E27FC236}">
              <a16:creationId xmlns:a16="http://schemas.microsoft.com/office/drawing/2014/main" id="{00000000-0008-0000-0400-00009B040000}"/>
            </a:ext>
          </a:extLst>
        </xdr:cNvPr>
        <xdr:cNvSpPr>
          <a:spLocks noChangeShapeType="1"/>
        </xdr:cNvSpPr>
      </xdr:nvSpPr>
      <xdr:spPr bwMode="auto">
        <a:xfrm>
          <a:off x="1133475" y="615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19</xdr:row>
      <xdr:rowOff>0</xdr:rowOff>
    </xdr:from>
    <xdr:to>
      <xdr:col>0</xdr:col>
      <xdr:colOff>1133475</xdr:colOff>
      <xdr:row>19</xdr:row>
      <xdr:rowOff>0</xdr:rowOff>
    </xdr:to>
    <xdr:sp macro="" textlink="">
      <xdr:nvSpPr>
        <xdr:cNvPr id="1180" name="Line 160">
          <a:extLst>
            <a:ext uri="{FF2B5EF4-FFF2-40B4-BE49-F238E27FC236}">
              <a16:creationId xmlns:a16="http://schemas.microsoft.com/office/drawing/2014/main" id="{00000000-0008-0000-0400-00009C040000}"/>
            </a:ext>
          </a:extLst>
        </xdr:cNvPr>
        <xdr:cNvSpPr>
          <a:spLocks noChangeShapeType="1"/>
        </xdr:cNvSpPr>
      </xdr:nvSpPr>
      <xdr:spPr bwMode="auto">
        <a:xfrm>
          <a:off x="1133475" y="615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19</xdr:row>
      <xdr:rowOff>0</xdr:rowOff>
    </xdr:from>
    <xdr:to>
      <xdr:col>0</xdr:col>
      <xdr:colOff>1133475</xdr:colOff>
      <xdr:row>19</xdr:row>
      <xdr:rowOff>0</xdr:rowOff>
    </xdr:to>
    <xdr:sp macro="" textlink="">
      <xdr:nvSpPr>
        <xdr:cNvPr id="1181" name="Line 161">
          <a:extLst>
            <a:ext uri="{FF2B5EF4-FFF2-40B4-BE49-F238E27FC236}">
              <a16:creationId xmlns:a16="http://schemas.microsoft.com/office/drawing/2014/main" id="{00000000-0008-0000-0400-00009D040000}"/>
            </a:ext>
          </a:extLst>
        </xdr:cNvPr>
        <xdr:cNvSpPr>
          <a:spLocks noChangeShapeType="1"/>
        </xdr:cNvSpPr>
      </xdr:nvSpPr>
      <xdr:spPr bwMode="auto">
        <a:xfrm>
          <a:off x="1133475" y="615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19</xdr:row>
      <xdr:rowOff>0</xdr:rowOff>
    </xdr:from>
    <xdr:to>
      <xdr:col>0</xdr:col>
      <xdr:colOff>1133475</xdr:colOff>
      <xdr:row>19</xdr:row>
      <xdr:rowOff>0</xdr:rowOff>
    </xdr:to>
    <xdr:sp macro="" textlink="">
      <xdr:nvSpPr>
        <xdr:cNvPr id="1182" name="Line 162">
          <a:extLst>
            <a:ext uri="{FF2B5EF4-FFF2-40B4-BE49-F238E27FC236}">
              <a16:creationId xmlns:a16="http://schemas.microsoft.com/office/drawing/2014/main" id="{00000000-0008-0000-0400-00009E040000}"/>
            </a:ext>
          </a:extLst>
        </xdr:cNvPr>
        <xdr:cNvSpPr>
          <a:spLocks noChangeShapeType="1"/>
        </xdr:cNvSpPr>
      </xdr:nvSpPr>
      <xdr:spPr bwMode="auto">
        <a:xfrm>
          <a:off x="1133475" y="615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19</xdr:row>
      <xdr:rowOff>0</xdr:rowOff>
    </xdr:from>
    <xdr:to>
      <xdr:col>0</xdr:col>
      <xdr:colOff>1133475</xdr:colOff>
      <xdr:row>19</xdr:row>
      <xdr:rowOff>0</xdr:rowOff>
    </xdr:to>
    <xdr:sp macro="" textlink="">
      <xdr:nvSpPr>
        <xdr:cNvPr id="1183" name="Line 163">
          <a:extLst>
            <a:ext uri="{FF2B5EF4-FFF2-40B4-BE49-F238E27FC236}">
              <a16:creationId xmlns:a16="http://schemas.microsoft.com/office/drawing/2014/main" id="{00000000-0008-0000-0400-00009F040000}"/>
            </a:ext>
          </a:extLst>
        </xdr:cNvPr>
        <xdr:cNvSpPr>
          <a:spLocks noChangeShapeType="1"/>
        </xdr:cNvSpPr>
      </xdr:nvSpPr>
      <xdr:spPr bwMode="auto">
        <a:xfrm>
          <a:off x="1133475" y="615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19</xdr:row>
      <xdr:rowOff>0</xdr:rowOff>
    </xdr:from>
    <xdr:to>
      <xdr:col>0</xdr:col>
      <xdr:colOff>1133475</xdr:colOff>
      <xdr:row>19</xdr:row>
      <xdr:rowOff>0</xdr:rowOff>
    </xdr:to>
    <xdr:sp macro="" textlink="">
      <xdr:nvSpPr>
        <xdr:cNvPr id="1184" name="Line 164">
          <a:extLst>
            <a:ext uri="{FF2B5EF4-FFF2-40B4-BE49-F238E27FC236}">
              <a16:creationId xmlns:a16="http://schemas.microsoft.com/office/drawing/2014/main" id="{00000000-0008-0000-0400-0000A0040000}"/>
            </a:ext>
          </a:extLst>
        </xdr:cNvPr>
        <xdr:cNvSpPr>
          <a:spLocks noChangeShapeType="1"/>
        </xdr:cNvSpPr>
      </xdr:nvSpPr>
      <xdr:spPr bwMode="auto">
        <a:xfrm>
          <a:off x="1133475" y="615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19</xdr:row>
      <xdr:rowOff>0</xdr:rowOff>
    </xdr:from>
    <xdr:to>
      <xdr:col>0</xdr:col>
      <xdr:colOff>1133475</xdr:colOff>
      <xdr:row>19</xdr:row>
      <xdr:rowOff>0</xdr:rowOff>
    </xdr:to>
    <xdr:sp macro="" textlink="">
      <xdr:nvSpPr>
        <xdr:cNvPr id="1185" name="Line 165">
          <a:extLst>
            <a:ext uri="{FF2B5EF4-FFF2-40B4-BE49-F238E27FC236}">
              <a16:creationId xmlns:a16="http://schemas.microsoft.com/office/drawing/2014/main" id="{00000000-0008-0000-0400-0000A1040000}"/>
            </a:ext>
          </a:extLst>
        </xdr:cNvPr>
        <xdr:cNvSpPr>
          <a:spLocks noChangeShapeType="1"/>
        </xdr:cNvSpPr>
      </xdr:nvSpPr>
      <xdr:spPr bwMode="auto">
        <a:xfrm>
          <a:off x="1133475" y="615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19</xdr:row>
      <xdr:rowOff>0</xdr:rowOff>
    </xdr:from>
    <xdr:to>
      <xdr:col>0</xdr:col>
      <xdr:colOff>1133475</xdr:colOff>
      <xdr:row>19</xdr:row>
      <xdr:rowOff>0</xdr:rowOff>
    </xdr:to>
    <xdr:sp macro="" textlink="">
      <xdr:nvSpPr>
        <xdr:cNvPr id="1186" name="Line 166">
          <a:extLst>
            <a:ext uri="{FF2B5EF4-FFF2-40B4-BE49-F238E27FC236}">
              <a16:creationId xmlns:a16="http://schemas.microsoft.com/office/drawing/2014/main" id="{00000000-0008-0000-0400-0000A2040000}"/>
            </a:ext>
          </a:extLst>
        </xdr:cNvPr>
        <xdr:cNvSpPr>
          <a:spLocks noChangeShapeType="1"/>
        </xdr:cNvSpPr>
      </xdr:nvSpPr>
      <xdr:spPr bwMode="auto">
        <a:xfrm>
          <a:off x="1133475" y="615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19</xdr:row>
      <xdr:rowOff>0</xdr:rowOff>
    </xdr:from>
    <xdr:to>
      <xdr:col>0</xdr:col>
      <xdr:colOff>1133475</xdr:colOff>
      <xdr:row>19</xdr:row>
      <xdr:rowOff>0</xdr:rowOff>
    </xdr:to>
    <xdr:sp macro="" textlink="">
      <xdr:nvSpPr>
        <xdr:cNvPr id="1187" name="Line 167">
          <a:extLst>
            <a:ext uri="{FF2B5EF4-FFF2-40B4-BE49-F238E27FC236}">
              <a16:creationId xmlns:a16="http://schemas.microsoft.com/office/drawing/2014/main" id="{00000000-0008-0000-0400-0000A3040000}"/>
            </a:ext>
          </a:extLst>
        </xdr:cNvPr>
        <xdr:cNvSpPr>
          <a:spLocks noChangeShapeType="1"/>
        </xdr:cNvSpPr>
      </xdr:nvSpPr>
      <xdr:spPr bwMode="auto">
        <a:xfrm>
          <a:off x="1133475" y="615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19</xdr:row>
      <xdr:rowOff>0</xdr:rowOff>
    </xdr:from>
    <xdr:to>
      <xdr:col>0</xdr:col>
      <xdr:colOff>1133475</xdr:colOff>
      <xdr:row>19</xdr:row>
      <xdr:rowOff>0</xdr:rowOff>
    </xdr:to>
    <xdr:sp macro="" textlink="">
      <xdr:nvSpPr>
        <xdr:cNvPr id="1188" name="Line 168">
          <a:extLst>
            <a:ext uri="{FF2B5EF4-FFF2-40B4-BE49-F238E27FC236}">
              <a16:creationId xmlns:a16="http://schemas.microsoft.com/office/drawing/2014/main" id="{00000000-0008-0000-0400-0000A4040000}"/>
            </a:ext>
          </a:extLst>
        </xdr:cNvPr>
        <xdr:cNvSpPr>
          <a:spLocks noChangeShapeType="1"/>
        </xdr:cNvSpPr>
      </xdr:nvSpPr>
      <xdr:spPr bwMode="auto">
        <a:xfrm>
          <a:off x="1133475" y="615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19</xdr:row>
      <xdr:rowOff>0</xdr:rowOff>
    </xdr:from>
    <xdr:to>
      <xdr:col>0</xdr:col>
      <xdr:colOff>1133475</xdr:colOff>
      <xdr:row>19</xdr:row>
      <xdr:rowOff>0</xdr:rowOff>
    </xdr:to>
    <xdr:sp macro="" textlink="">
      <xdr:nvSpPr>
        <xdr:cNvPr id="1189" name="Line 169">
          <a:extLst>
            <a:ext uri="{FF2B5EF4-FFF2-40B4-BE49-F238E27FC236}">
              <a16:creationId xmlns:a16="http://schemas.microsoft.com/office/drawing/2014/main" id="{00000000-0008-0000-0400-0000A5040000}"/>
            </a:ext>
          </a:extLst>
        </xdr:cNvPr>
        <xdr:cNvSpPr>
          <a:spLocks noChangeShapeType="1"/>
        </xdr:cNvSpPr>
      </xdr:nvSpPr>
      <xdr:spPr bwMode="auto">
        <a:xfrm>
          <a:off x="1133475" y="615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19</xdr:row>
      <xdr:rowOff>0</xdr:rowOff>
    </xdr:from>
    <xdr:to>
      <xdr:col>0</xdr:col>
      <xdr:colOff>1133475</xdr:colOff>
      <xdr:row>19</xdr:row>
      <xdr:rowOff>0</xdr:rowOff>
    </xdr:to>
    <xdr:sp macro="" textlink="">
      <xdr:nvSpPr>
        <xdr:cNvPr id="1190" name="Line 170">
          <a:extLst>
            <a:ext uri="{FF2B5EF4-FFF2-40B4-BE49-F238E27FC236}">
              <a16:creationId xmlns:a16="http://schemas.microsoft.com/office/drawing/2014/main" id="{00000000-0008-0000-0400-0000A6040000}"/>
            </a:ext>
          </a:extLst>
        </xdr:cNvPr>
        <xdr:cNvSpPr>
          <a:spLocks noChangeShapeType="1"/>
        </xdr:cNvSpPr>
      </xdr:nvSpPr>
      <xdr:spPr bwMode="auto">
        <a:xfrm>
          <a:off x="1133475" y="615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19</xdr:row>
      <xdr:rowOff>0</xdr:rowOff>
    </xdr:from>
    <xdr:to>
      <xdr:col>0</xdr:col>
      <xdr:colOff>1133475</xdr:colOff>
      <xdr:row>19</xdr:row>
      <xdr:rowOff>0</xdr:rowOff>
    </xdr:to>
    <xdr:sp macro="" textlink="">
      <xdr:nvSpPr>
        <xdr:cNvPr id="1191" name="Line 171">
          <a:extLst>
            <a:ext uri="{FF2B5EF4-FFF2-40B4-BE49-F238E27FC236}">
              <a16:creationId xmlns:a16="http://schemas.microsoft.com/office/drawing/2014/main" id="{00000000-0008-0000-0400-0000A7040000}"/>
            </a:ext>
          </a:extLst>
        </xdr:cNvPr>
        <xdr:cNvSpPr>
          <a:spLocks noChangeShapeType="1"/>
        </xdr:cNvSpPr>
      </xdr:nvSpPr>
      <xdr:spPr bwMode="auto">
        <a:xfrm>
          <a:off x="1133475" y="615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19</xdr:row>
      <xdr:rowOff>0</xdr:rowOff>
    </xdr:from>
    <xdr:to>
      <xdr:col>0</xdr:col>
      <xdr:colOff>1133475</xdr:colOff>
      <xdr:row>19</xdr:row>
      <xdr:rowOff>0</xdr:rowOff>
    </xdr:to>
    <xdr:sp macro="" textlink="">
      <xdr:nvSpPr>
        <xdr:cNvPr id="1192" name="Line 172">
          <a:extLst>
            <a:ext uri="{FF2B5EF4-FFF2-40B4-BE49-F238E27FC236}">
              <a16:creationId xmlns:a16="http://schemas.microsoft.com/office/drawing/2014/main" id="{00000000-0008-0000-0400-0000A8040000}"/>
            </a:ext>
          </a:extLst>
        </xdr:cNvPr>
        <xdr:cNvSpPr>
          <a:spLocks noChangeShapeType="1"/>
        </xdr:cNvSpPr>
      </xdr:nvSpPr>
      <xdr:spPr bwMode="auto">
        <a:xfrm>
          <a:off x="1133475" y="615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19</xdr:row>
      <xdr:rowOff>0</xdr:rowOff>
    </xdr:from>
    <xdr:to>
      <xdr:col>0</xdr:col>
      <xdr:colOff>1133475</xdr:colOff>
      <xdr:row>19</xdr:row>
      <xdr:rowOff>0</xdr:rowOff>
    </xdr:to>
    <xdr:sp macro="" textlink="">
      <xdr:nvSpPr>
        <xdr:cNvPr id="1193" name="Line 173">
          <a:extLst>
            <a:ext uri="{FF2B5EF4-FFF2-40B4-BE49-F238E27FC236}">
              <a16:creationId xmlns:a16="http://schemas.microsoft.com/office/drawing/2014/main" id="{00000000-0008-0000-0400-0000A9040000}"/>
            </a:ext>
          </a:extLst>
        </xdr:cNvPr>
        <xdr:cNvSpPr>
          <a:spLocks noChangeShapeType="1"/>
        </xdr:cNvSpPr>
      </xdr:nvSpPr>
      <xdr:spPr bwMode="auto">
        <a:xfrm>
          <a:off x="1133475" y="615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19</xdr:row>
      <xdr:rowOff>0</xdr:rowOff>
    </xdr:from>
    <xdr:to>
      <xdr:col>0</xdr:col>
      <xdr:colOff>1133475</xdr:colOff>
      <xdr:row>19</xdr:row>
      <xdr:rowOff>0</xdr:rowOff>
    </xdr:to>
    <xdr:sp macro="" textlink="">
      <xdr:nvSpPr>
        <xdr:cNvPr id="1194" name="Line 174">
          <a:extLst>
            <a:ext uri="{FF2B5EF4-FFF2-40B4-BE49-F238E27FC236}">
              <a16:creationId xmlns:a16="http://schemas.microsoft.com/office/drawing/2014/main" id="{00000000-0008-0000-0400-0000AA040000}"/>
            </a:ext>
          </a:extLst>
        </xdr:cNvPr>
        <xdr:cNvSpPr>
          <a:spLocks noChangeShapeType="1"/>
        </xdr:cNvSpPr>
      </xdr:nvSpPr>
      <xdr:spPr bwMode="auto">
        <a:xfrm>
          <a:off x="1133475" y="615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19</xdr:row>
      <xdr:rowOff>0</xdr:rowOff>
    </xdr:from>
    <xdr:to>
      <xdr:col>0</xdr:col>
      <xdr:colOff>1133475</xdr:colOff>
      <xdr:row>19</xdr:row>
      <xdr:rowOff>0</xdr:rowOff>
    </xdr:to>
    <xdr:sp macro="" textlink="">
      <xdr:nvSpPr>
        <xdr:cNvPr id="1195" name="Line 175">
          <a:extLst>
            <a:ext uri="{FF2B5EF4-FFF2-40B4-BE49-F238E27FC236}">
              <a16:creationId xmlns:a16="http://schemas.microsoft.com/office/drawing/2014/main" id="{00000000-0008-0000-0400-0000AB040000}"/>
            </a:ext>
          </a:extLst>
        </xdr:cNvPr>
        <xdr:cNvSpPr>
          <a:spLocks noChangeShapeType="1"/>
        </xdr:cNvSpPr>
      </xdr:nvSpPr>
      <xdr:spPr bwMode="auto">
        <a:xfrm>
          <a:off x="1133475" y="615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19</xdr:row>
      <xdr:rowOff>0</xdr:rowOff>
    </xdr:from>
    <xdr:to>
      <xdr:col>0</xdr:col>
      <xdr:colOff>1133475</xdr:colOff>
      <xdr:row>19</xdr:row>
      <xdr:rowOff>0</xdr:rowOff>
    </xdr:to>
    <xdr:sp macro="" textlink="">
      <xdr:nvSpPr>
        <xdr:cNvPr id="1196" name="Line 176">
          <a:extLst>
            <a:ext uri="{FF2B5EF4-FFF2-40B4-BE49-F238E27FC236}">
              <a16:creationId xmlns:a16="http://schemas.microsoft.com/office/drawing/2014/main" id="{00000000-0008-0000-0400-0000AC040000}"/>
            </a:ext>
          </a:extLst>
        </xdr:cNvPr>
        <xdr:cNvSpPr>
          <a:spLocks noChangeShapeType="1"/>
        </xdr:cNvSpPr>
      </xdr:nvSpPr>
      <xdr:spPr bwMode="auto">
        <a:xfrm>
          <a:off x="1133475" y="615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19</xdr:row>
      <xdr:rowOff>0</xdr:rowOff>
    </xdr:from>
    <xdr:to>
      <xdr:col>0</xdr:col>
      <xdr:colOff>1133475</xdr:colOff>
      <xdr:row>19</xdr:row>
      <xdr:rowOff>0</xdr:rowOff>
    </xdr:to>
    <xdr:sp macro="" textlink="">
      <xdr:nvSpPr>
        <xdr:cNvPr id="1197" name="Line 177">
          <a:extLst>
            <a:ext uri="{FF2B5EF4-FFF2-40B4-BE49-F238E27FC236}">
              <a16:creationId xmlns:a16="http://schemas.microsoft.com/office/drawing/2014/main" id="{00000000-0008-0000-0400-0000AD040000}"/>
            </a:ext>
          </a:extLst>
        </xdr:cNvPr>
        <xdr:cNvSpPr>
          <a:spLocks noChangeShapeType="1"/>
        </xdr:cNvSpPr>
      </xdr:nvSpPr>
      <xdr:spPr bwMode="auto">
        <a:xfrm>
          <a:off x="1133475" y="615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19</xdr:row>
      <xdr:rowOff>0</xdr:rowOff>
    </xdr:from>
    <xdr:to>
      <xdr:col>0</xdr:col>
      <xdr:colOff>1133475</xdr:colOff>
      <xdr:row>19</xdr:row>
      <xdr:rowOff>0</xdr:rowOff>
    </xdr:to>
    <xdr:sp macro="" textlink="">
      <xdr:nvSpPr>
        <xdr:cNvPr id="1198" name="Line 178">
          <a:extLst>
            <a:ext uri="{FF2B5EF4-FFF2-40B4-BE49-F238E27FC236}">
              <a16:creationId xmlns:a16="http://schemas.microsoft.com/office/drawing/2014/main" id="{00000000-0008-0000-0400-0000AE040000}"/>
            </a:ext>
          </a:extLst>
        </xdr:cNvPr>
        <xdr:cNvSpPr>
          <a:spLocks noChangeShapeType="1"/>
        </xdr:cNvSpPr>
      </xdr:nvSpPr>
      <xdr:spPr bwMode="auto">
        <a:xfrm>
          <a:off x="1133475" y="615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19</xdr:row>
      <xdr:rowOff>0</xdr:rowOff>
    </xdr:from>
    <xdr:to>
      <xdr:col>0</xdr:col>
      <xdr:colOff>1133475</xdr:colOff>
      <xdr:row>19</xdr:row>
      <xdr:rowOff>0</xdr:rowOff>
    </xdr:to>
    <xdr:sp macro="" textlink="">
      <xdr:nvSpPr>
        <xdr:cNvPr id="1199" name="Line 179">
          <a:extLst>
            <a:ext uri="{FF2B5EF4-FFF2-40B4-BE49-F238E27FC236}">
              <a16:creationId xmlns:a16="http://schemas.microsoft.com/office/drawing/2014/main" id="{00000000-0008-0000-0400-0000AF040000}"/>
            </a:ext>
          </a:extLst>
        </xdr:cNvPr>
        <xdr:cNvSpPr>
          <a:spLocks noChangeShapeType="1"/>
        </xdr:cNvSpPr>
      </xdr:nvSpPr>
      <xdr:spPr bwMode="auto">
        <a:xfrm>
          <a:off x="1133475" y="615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19</xdr:row>
      <xdr:rowOff>0</xdr:rowOff>
    </xdr:from>
    <xdr:to>
      <xdr:col>0</xdr:col>
      <xdr:colOff>1133475</xdr:colOff>
      <xdr:row>19</xdr:row>
      <xdr:rowOff>0</xdr:rowOff>
    </xdr:to>
    <xdr:sp macro="" textlink="">
      <xdr:nvSpPr>
        <xdr:cNvPr id="1200" name="Line 180">
          <a:extLst>
            <a:ext uri="{FF2B5EF4-FFF2-40B4-BE49-F238E27FC236}">
              <a16:creationId xmlns:a16="http://schemas.microsoft.com/office/drawing/2014/main" id="{00000000-0008-0000-0400-0000B0040000}"/>
            </a:ext>
          </a:extLst>
        </xdr:cNvPr>
        <xdr:cNvSpPr>
          <a:spLocks noChangeShapeType="1"/>
        </xdr:cNvSpPr>
      </xdr:nvSpPr>
      <xdr:spPr bwMode="auto">
        <a:xfrm>
          <a:off x="1133475" y="615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19</xdr:row>
      <xdr:rowOff>0</xdr:rowOff>
    </xdr:from>
    <xdr:to>
      <xdr:col>0</xdr:col>
      <xdr:colOff>1133475</xdr:colOff>
      <xdr:row>19</xdr:row>
      <xdr:rowOff>0</xdr:rowOff>
    </xdr:to>
    <xdr:sp macro="" textlink="">
      <xdr:nvSpPr>
        <xdr:cNvPr id="1201" name="Line 181">
          <a:extLst>
            <a:ext uri="{FF2B5EF4-FFF2-40B4-BE49-F238E27FC236}">
              <a16:creationId xmlns:a16="http://schemas.microsoft.com/office/drawing/2014/main" id="{00000000-0008-0000-0400-0000B1040000}"/>
            </a:ext>
          </a:extLst>
        </xdr:cNvPr>
        <xdr:cNvSpPr>
          <a:spLocks noChangeShapeType="1"/>
        </xdr:cNvSpPr>
      </xdr:nvSpPr>
      <xdr:spPr bwMode="auto">
        <a:xfrm>
          <a:off x="1133475" y="615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19</xdr:row>
      <xdr:rowOff>0</xdr:rowOff>
    </xdr:from>
    <xdr:to>
      <xdr:col>0</xdr:col>
      <xdr:colOff>1133475</xdr:colOff>
      <xdr:row>19</xdr:row>
      <xdr:rowOff>0</xdr:rowOff>
    </xdr:to>
    <xdr:sp macro="" textlink="">
      <xdr:nvSpPr>
        <xdr:cNvPr id="1202" name="Line 182">
          <a:extLst>
            <a:ext uri="{FF2B5EF4-FFF2-40B4-BE49-F238E27FC236}">
              <a16:creationId xmlns:a16="http://schemas.microsoft.com/office/drawing/2014/main" id="{00000000-0008-0000-0400-0000B2040000}"/>
            </a:ext>
          </a:extLst>
        </xdr:cNvPr>
        <xdr:cNvSpPr>
          <a:spLocks noChangeShapeType="1"/>
        </xdr:cNvSpPr>
      </xdr:nvSpPr>
      <xdr:spPr bwMode="auto">
        <a:xfrm>
          <a:off x="1133475" y="615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19</xdr:row>
      <xdr:rowOff>0</xdr:rowOff>
    </xdr:from>
    <xdr:to>
      <xdr:col>0</xdr:col>
      <xdr:colOff>1133475</xdr:colOff>
      <xdr:row>19</xdr:row>
      <xdr:rowOff>0</xdr:rowOff>
    </xdr:to>
    <xdr:sp macro="" textlink="">
      <xdr:nvSpPr>
        <xdr:cNvPr id="1203" name="Line 183">
          <a:extLst>
            <a:ext uri="{FF2B5EF4-FFF2-40B4-BE49-F238E27FC236}">
              <a16:creationId xmlns:a16="http://schemas.microsoft.com/office/drawing/2014/main" id="{00000000-0008-0000-0400-0000B3040000}"/>
            </a:ext>
          </a:extLst>
        </xdr:cNvPr>
        <xdr:cNvSpPr>
          <a:spLocks noChangeShapeType="1"/>
        </xdr:cNvSpPr>
      </xdr:nvSpPr>
      <xdr:spPr bwMode="auto">
        <a:xfrm>
          <a:off x="1133475" y="615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19</xdr:row>
      <xdr:rowOff>0</xdr:rowOff>
    </xdr:from>
    <xdr:to>
      <xdr:col>0</xdr:col>
      <xdr:colOff>1133475</xdr:colOff>
      <xdr:row>19</xdr:row>
      <xdr:rowOff>0</xdr:rowOff>
    </xdr:to>
    <xdr:sp macro="" textlink="">
      <xdr:nvSpPr>
        <xdr:cNvPr id="1204" name="Line 184">
          <a:extLst>
            <a:ext uri="{FF2B5EF4-FFF2-40B4-BE49-F238E27FC236}">
              <a16:creationId xmlns:a16="http://schemas.microsoft.com/office/drawing/2014/main" id="{00000000-0008-0000-0400-0000B4040000}"/>
            </a:ext>
          </a:extLst>
        </xdr:cNvPr>
        <xdr:cNvSpPr>
          <a:spLocks noChangeShapeType="1"/>
        </xdr:cNvSpPr>
      </xdr:nvSpPr>
      <xdr:spPr bwMode="auto">
        <a:xfrm>
          <a:off x="1133475" y="615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19</xdr:row>
      <xdr:rowOff>0</xdr:rowOff>
    </xdr:from>
    <xdr:to>
      <xdr:col>0</xdr:col>
      <xdr:colOff>1133475</xdr:colOff>
      <xdr:row>19</xdr:row>
      <xdr:rowOff>0</xdr:rowOff>
    </xdr:to>
    <xdr:sp macro="" textlink="">
      <xdr:nvSpPr>
        <xdr:cNvPr id="1205" name="Line 185">
          <a:extLst>
            <a:ext uri="{FF2B5EF4-FFF2-40B4-BE49-F238E27FC236}">
              <a16:creationId xmlns:a16="http://schemas.microsoft.com/office/drawing/2014/main" id="{00000000-0008-0000-0400-0000B5040000}"/>
            </a:ext>
          </a:extLst>
        </xdr:cNvPr>
        <xdr:cNvSpPr>
          <a:spLocks noChangeShapeType="1"/>
        </xdr:cNvSpPr>
      </xdr:nvSpPr>
      <xdr:spPr bwMode="auto">
        <a:xfrm>
          <a:off x="1133475" y="615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19</xdr:row>
      <xdr:rowOff>0</xdr:rowOff>
    </xdr:from>
    <xdr:to>
      <xdr:col>0</xdr:col>
      <xdr:colOff>1133475</xdr:colOff>
      <xdr:row>19</xdr:row>
      <xdr:rowOff>0</xdr:rowOff>
    </xdr:to>
    <xdr:sp macro="" textlink="">
      <xdr:nvSpPr>
        <xdr:cNvPr id="1206" name="Line 186">
          <a:extLst>
            <a:ext uri="{FF2B5EF4-FFF2-40B4-BE49-F238E27FC236}">
              <a16:creationId xmlns:a16="http://schemas.microsoft.com/office/drawing/2014/main" id="{00000000-0008-0000-0400-0000B6040000}"/>
            </a:ext>
          </a:extLst>
        </xdr:cNvPr>
        <xdr:cNvSpPr>
          <a:spLocks noChangeShapeType="1"/>
        </xdr:cNvSpPr>
      </xdr:nvSpPr>
      <xdr:spPr bwMode="auto">
        <a:xfrm>
          <a:off x="1133475" y="615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19</xdr:row>
      <xdr:rowOff>0</xdr:rowOff>
    </xdr:from>
    <xdr:to>
      <xdr:col>0</xdr:col>
      <xdr:colOff>1133475</xdr:colOff>
      <xdr:row>19</xdr:row>
      <xdr:rowOff>0</xdr:rowOff>
    </xdr:to>
    <xdr:sp macro="" textlink="">
      <xdr:nvSpPr>
        <xdr:cNvPr id="1207" name="Line 187">
          <a:extLst>
            <a:ext uri="{FF2B5EF4-FFF2-40B4-BE49-F238E27FC236}">
              <a16:creationId xmlns:a16="http://schemas.microsoft.com/office/drawing/2014/main" id="{00000000-0008-0000-0400-0000B7040000}"/>
            </a:ext>
          </a:extLst>
        </xdr:cNvPr>
        <xdr:cNvSpPr>
          <a:spLocks noChangeShapeType="1"/>
        </xdr:cNvSpPr>
      </xdr:nvSpPr>
      <xdr:spPr bwMode="auto">
        <a:xfrm>
          <a:off x="1133475" y="615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19</xdr:row>
      <xdr:rowOff>0</xdr:rowOff>
    </xdr:from>
    <xdr:to>
      <xdr:col>0</xdr:col>
      <xdr:colOff>1133475</xdr:colOff>
      <xdr:row>19</xdr:row>
      <xdr:rowOff>0</xdr:rowOff>
    </xdr:to>
    <xdr:sp macro="" textlink="">
      <xdr:nvSpPr>
        <xdr:cNvPr id="1208" name="Line 188">
          <a:extLst>
            <a:ext uri="{FF2B5EF4-FFF2-40B4-BE49-F238E27FC236}">
              <a16:creationId xmlns:a16="http://schemas.microsoft.com/office/drawing/2014/main" id="{00000000-0008-0000-0400-0000B8040000}"/>
            </a:ext>
          </a:extLst>
        </xdr:cNvPr>
        <xdr:cNvSpPr>
          <a:spLocks noChangeShapeType="1"/>
        </xdr:cNvSpPr>
      </xdr:nvSpPr>
      <xdr:spPr bwMode="auto">
        <a:xfrm>
          <a:off x="1133475" y="615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19</xdr:row>
      <xdr:rowOff>0</xdr:rowOff>
    </xdr:from>
    <xdr:to>
      <xdr:col>0</xdr:col>
      <xdr:colOff>1133475</xdr:colOff>
      <xdr:row>19</xdr:row>
      <xdr:rowOff>0</xdr:rowOff>
    </xdr:to>
    <xdr:sp macro="" textlink="">
      <xdr:nvSpPr>
        <xdr:cNvPr id="1209" name="Line 189">
          <a:extLst>
            <a:ext uri="{FF2B5EF4-FFF2-40B4-BE49-F238E27FC236}">
              <a16:creationId xmlns:a16="http://schemas.microsoft.com/office/drawing/2014/main" id="{00000000-0008-0000-0400-0000B9040000}"/>
            </a:ext>
          </a:extLst>
        </xdr:cNvPr>
        <xdr:cNvSpPr>
          <a:spLocks noChangeShapeType="1"/>
        </xdr:cNvSpPr>
      </xdr:nvSpPr>
      <xdr:spPr bwMode="auto">
        <a:xfrm>
          <a:off x="1133475" y="615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19</xdr:row>
      <xdr:rowOff>0</xdr:rowOff>
    </xdr:from>
    <xdr:to>
      <xdr:col>0</xdr:col>
      <xdr:colOff>1133475</xdr:colOff>
      <xdr:row>19</xdr:row>
      <xdr:rowOff>0</xdr:rowOff>
    </xdr:to>
    <xdr:sp macro="" textlink="">
      <xdr:nvSpPr>
        <xdr:cNvPr id="1210" name="Line 190">
          <a:extLst>
            <a:ext uri="{FF2B5EF4-FFF2-40B4-BE49-F238E27FC236}">
              <a16:creationId xmlns:a16="http://schemas.microsoft.com/office/drawing/2014/main" id="{00000000-0008-0000-0400-0000BA040000}"/>
            </a:ext>
          </a:extLst>
        </xdr:cNvPr>
        <xdr:cNvSpPr>
          <a:spLocks noChangeShapeType="1"/>
        </xdr:cNvSpPr>
      </xdr:nvSpPr>
      <xdr:spPr bwMode="auto">
        <a:xfrm>
          <a:off x="1133475" y="6153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19</xdr:row>
      <xdr:rowOff>9525</xdr:rowOff>
    </xdr:from>
    <xdr:to>
      <xdr:col>0</xdr:col>
      <xdr:colOff>1133475</xdr:colOff>
      <xdr:row>19</xdr:row>
      <xdr:rowOff>9525</xdr:rowOff>
    </xdr:to>
    <xdr:sp macro="" textlink="">
      <xdr:nvSpPr>
        <xdr:cNvPr id="1211" name="Line 191">
          <a:extLst>
            <a:ext uri="{FF2B5EF4-FFF2-40B4-BE49-F238E27FC236}">
              <a16:creationId xmlns:a16="http://schemas.microsoft.com/office/drawing/2014/main" id="{00000000-0008-0000-0400-0000BB040000}"/>
            </a:ext>
          </a:extLst>
        </xdr:cNvPr>
        <xdr:cNvSpPr>
          <a:spLocks noChangeShapeType="1"/>
        </xdr:cNvSpPr>
      </xdr:nvSpPr>
      <xdr:spPr bwMode="auto">
        <a:xfrm>
          <a:off x="1133475" y="6162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19</xdr:row>
      <xdr:rowOff>9525</xdr:rowOff>
    </xdr:from>
    <xdr:to>
      <xdr:col>0</xdr:col>
      <xdr:colOff>1133475</xdr:colOff>
      <xdr:row>19</xdr:row>
      <xdr:rowOff>9525</xdr:rowOff>
    </xdr:to>
    <xdr:sp macro="" textlink="">
      <xdr:nvSpPr>
        <xdr:cNvPr id="1212" name="Line 192">
          <a:extLst>
            <a:ext uri="{FF2B5EF4-FFF2-40B4-BE49-F238E27FC236}">
              <a16:creationId xmlns:a16="http://schemas.microsoft.com/office/drawing/2014/main" id="{00000000-0008-0000-0400-0000BC040000}"/>
            </a:ext>
          </a:extLst>
        </xdr:cNvPr>
        <xdr:cNvSpPr>
          <a:spLocks noChangeShapeType="1"/>
        </xdr:cNvSpPr>
      </xdr:nvSpPr>
      <xdr:spPr bwMode="auto">
        <a:xfrm>
          <a:off x="1133475" y="6162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20</xdr:row>
      <xdr:rowOff>0</xdr:rowOff>
    </xdr:from>
    <xdr:to>
      <xdr:col>0</xdr:col>
      <xdr:colOff>1133475</xdr:colOff>
      <xdr:row>20</xdr:row>
      <xdr:rowOff>0</xdr:rowOff>
    </xdr:to>
    <xdr:sp macro="" textlink="">
      <xdr:nvSpPr>
        <xdr:cNvPr id="1213" name="Line 193">
          <a:extLst>
            <a:ext uri="{FF2B5EF4-FFF2-40B4-BE49-F238E27FC236}">
              <a16:creationId xmlns:a16="http://schemas.microsoft.com/office/drawing/2014/main" id="{00000000-0008-0000-0400-0000BD040000}"/>
            </a:ext>
          </a:extLst>
        </xdr:cNvPr>
        <xdr:cNvSpPr>
          <a:spLocks noChangeShapeType="1"/>
        </xdr:cNvSpPr>
      </xdr:nvSpPr>
      <xdr:spPr bwMode="auto">
        <a:xfrm>
          <a:off x="1133475" y="637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20</xdr:row>
      <xdr:rowOff>0</xdr:rowOff>
    </xdr:from>
    <xdr:to>
      <xdr:col>0</xdr:col>
      <xdr:colOff>1133475</xdr:colOff>
      <xdr:row>20</xdr:row>
      <xdr:rowOff>0</xdr:rowOff>
    </xdr:to>
    <xdr:sp macro="" textlink="">
      <xdr:nvSpPr>
        <xdr:cNvPr id="1214" name="Line 194">
          <a:extLst>
            <a:ext uri="{FF2B5EF4-FFF2-40B4-BE49-F238E27FC236}">
              <a16:creationId xmlns:a16="http://schemas.microsoft.com/office/drawing/2014/main" id="{00000000-0008-0000-0400-0000BE040000}"/>
            </a:ext>
          </a:extLst>
        </xdr:cNvPr>
        <xdr:cNvSpPr>
          <a:spLocks noChangeShapeType="1"/>
        </xdr:cNvSpPr>
      </xdr:nvSpPr>
      <xdr:spPr bwMode="auto">
        <a:xfrm>
          <a:off x="1133475" y="637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20</xdr:row>
      <xdr:rowOff>0</xdr:rowOff>
    </xdr:from>
    <xdr:to>
      <xdr:col>0</xdr:col>
      <xdr:colOff>1133475</xdr:colOff>
      <xdr:row>20</xdr:row>
      <xdr:rowOff>0</xdr:rowOff>
    </xdr:to>
    <xdr:sp macro="" textlink="">
      <xdr:nvSpPr>
        <xdr:cNvPr id="1215" name="Line 195">
          <a:extLst>
            <a:ext uri="{FF2B5EF4-FFF2-40B4-BE49-F238E27FC236}">
              <a16:creationId xmlns:a16="http://schemas.microsoft.com/office/drawing/2014/main" id="{00000000-0008-0000-0400-0000BF040000}"/>
            </a:ext>
          </a:extLst>
        </xdr:cNvPr>
        <xdr:cNvSpPr>
          <a:spLocks noChangeShapeType="1"/>
        </xdr:cNvSpPr>
      </xdr:nvSpPr>
      <xdr:spPr bwMode="auto">
        <a:xfrm>
          <a:off x="1133475" y="637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1133475</xdr:colOff>
      <xdr:row>20</xdr:row>
      <xdr:rowOff>0</xdr:rowOff>
    </xdr:from>
    <xdr:to>
      <xdr:col>0</xdr:col>
      <xdr:colOff>1133475</xdr:colOff>
      <xdr:row>20</xdr:row>
      <xdr:rowOff>0</xdr:rowOff>
    </xdr:to>
    <xdr:sp macro="" textlink="">
      <xdr:nvSpPr>
        <xdr:cNvPr id="1216" name="Line 196">
          <a:extLst>
            <a:ext uri="{FF2B5EF4-FFF2-40B4-BE49-F238E27FC236}">
              <a16:creationId xmlns:a16="http://schemas.microsoft.com/office/drawing/2014/main" id="{00000000-0008-0000-0400-0000C0040000}"/>
            </a:ext>
          </a:extLst>
        </xdr:cNvPr>
        <xdr:cNvSpPr>
          <a:spLocks noChangeShapeType="1"/>
        </xdr:cNvSpPr>
      </xdr:nvSpPr>
      <xdr:spPr bwMode="auto">
        <a:xfrm>
          <a:off x="1133475" y="6372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3</xdr:row>
      <xdr:rowOff>19050</xdr:rowOff>
    </xdr:from>
    <xdr:to>
      <xdr:col>7</xdr:col>
      <xdr:colOff>647700</xdr:colOff>
      <xdr:row>3</xdr:row>
      <xdr:rowOff>200025</xdr:rowOff>
    </xdr:to>
    <xdr:sp macro="" textlink="">
      <xdr:nvSpPr>
        <xdr:cNvPr id="5121" name="AutoShape 1">
          <a:extLst>
            <a:ext uri="{FF2B5EF4-FFF2-40B4-BE49-F238E27FC236}">
              <a16:creationId xmlns:a16="http://schemas.microsoft.com/office/drawing/2014/main" id="{00000000-0008-0000-0500-000001140000}"/>
            </a:ext>
          </a:extLst>
        </xdr:cNvPr>
        <xdr:cNvSpPr>
          <a:spLocks noChangeArrowheads="1"/>
        </xdr:cNvSpPr>
      </xdr:nvSpPr>
      <xdr:spPr bwMode="auto">
        <a:xfrm>
          <a:off x="4171950" y="647700"/>
          <a:ext cx="619125" cy="180975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99"/>
  </sheetPr>
  <dimension ref="A1:BL93"/>
  <sheetViews>
    <sheetView topLeftCell="A93" zoomScaleNormal="100" workbookViewId="0">
      <selection activeCell="S53" sqref="S53"/>
    </sheetView>
  </sheetViews>
  <sheetFormatPr defaultRowHeight="12.75" x14ac:dyDescent="0.25"/>
  <cols>
    <col min="1" max="1" width="2.265625" customWidth="1"/>
    <col min="2" max="2" width="6" customWidth="1"/>
    <col min="3" max="4" width="5.3984375" customWidth="1"/>
    <col min="5" max="5" width="4.3984375" customWidth="1"/>
    <col min="6" max="6" width="5" customWidth="1"/>
    <col min="7" max="7" width="6.59765625" customWidth="1"/>
    <col min="8" max="8" width="4.3984375" customWidth="1"/>
    <col min="9" max="9" width="5" customWidth="1"/>
    <col min="10" max="10" width="6.59765625" customWidth="1"/>
    <col min="11" max="11" width="4.3984375" customWidth="1"/>
    <col min="12" max="12" width="5" customWidth="1"/>
    <col min="13" max="13" width="6.59765625" customWidth="1"/>
    <col min="14" max="14" width="4.3984375" customWidth="1"/>
    <col min="15" max="15" width="5" customWidth="1"/>
    <col min="16" max="16" width="6.73046875" customWidth="1"/>
    <col min="17" max="17" width="4.3984375" customWidth="1"/>
    <col min="18" max="18" width="5" customWidth="1"/>
    <col min="19" max="19" width="6.59765625" customWidth="1"/>
    <col min="20" max="20" width="4.3984375" customWidth="1"/>
    <col min="21" max="21" width="5" customWidth="1"/>
    <col min="22" max="22" width="6.59765625" customWidth="1"/>
    <col min="23" max="23" width="4.3984375" customWidth="1"/>
    <col min="24" max="24" width="5" customWidth="1"/>
    <col min="25" max="25" width="6.59765625" customWidth="1"/>
    <col min="26" max="26" width="4.3984375" customWidth="1"/>
    <col min="27" max="27" width="5" customWidth="1"/>
    <col min="28" max="28" width="6.59765625" customWidth="1"/>
    <col min="29" max="29" width="4.265625" customWidth="1"/>
    <col min="30" max="31" width="6.86328125" customWidth="1"/>
    <col min="32" max="37" width="4.265625" customWidth="1"/>
    <col min="38" max="39" width="4.3984375" customWidth="1"/>
    <col min="40" max="40" width="13.73046875" customWidth="1"/>
  </cols>
  <sheetData>
    <row r="1" spans="1:64" ht="16.899999999999999" thickTop="1" thickBot="1" x14ac:dyDescent="0.3">
      <c r="A1" s="161" t="s">
        <v>0</v>
      </c>
      <c r="B1" s="115"/>
      <c r="C1" s="115"/>
      <c r="D1" s="115"/>
      <c r="E1" s="115"/>
      <c r="I1" s="99" t="s">
        <v>1</v>
      </c>
      <c r="J1" s="197">
        <v>2016</v>
      </c>
      <c r="K1" s="1"/>
      <c r="M1" s="99" t="s">
        <v>2</v>
      </c>
      <c r="N1" s="196">
        <f>COUNTA($E4:$AB4)</f>
        <v>8</v>
      </c>
      <c r="O1" s="3"/>
      <c r="P1" s="1"/>
      <c r="R1" s="1"/>
      <c r="T1" s="187"/>
      <c r="U1" s="1"/>
      <c r="V1" s="188" t="s">
        <v>3</v>
      </c>
      <c r="W1" s="189"/>
      <c r="X1" s="190" t="s">
        <v>4</v>
      </c>
      <c r="Y1" s="189"/>
      <c r="Z1" s="215"/>
      <c r="AA1" s="189"/>
      <c r="AB1" s="195" t="s">
        <v>5</v>
      </c>
      <c r="AC1" s="1"/>
      <c r="AD1" s="1"/>
      <c r="AE1" s="1"/>
      <c r="AF1" s="1"/>
      <c r="AG1" s="1"/>
      <c r="AH1" s="1"/>
      <c r="AI1" s="1"/>
      <c r="AJ1" s="81"/>
      <c r="AK1" s="81"/>
      <c r="AL1" s="81"/>
      <c r="AM1" s="1"/>
      <c r="AN1" s="1"/>
    </row>
    <row r="2" spans="1:64" ht="17.25" customHeight="1" thickTop="1" thickBot="1" x14ac:dyDescent="0.3">
      <c r="A2" s="163"/>
      <c r="B2" s="98" t="s">
        <v>6</v>
      </c>
      <c r="C2" s="19"/>
      <c r="D2" s="19"/>
      <c r="E2" s="19"/>
      <c r="F2" s="510" t="s">
        <v>7</v>
      </c>
      <c r="G2" s="511"/>
      <c r="H2" s="162" t="s">
        <v>8</v>
      </c>
      <c r="I2" s="164"/>
      <c r="J2" s="165"/>
      <c r="K2" s="165"/>
      <c r="L2" s="164"/>
      <c r="M2" s="166"/>
      <c r="N2" s="166"/>
      <c r="O2" s="166"/>
      <c r="P2" s="115"/>
      <c r="Q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7"/>
      <c r="AG2" s="167"/>
      <c r="AH2" s="167"/>
      <c r="AI2" s="167"/>
      <c r="AJ2" s="167"/>
      <c r="AK2" s="167"/>
      <c r="AL2" s="167"/>
      <c r="AM2" s="167"/>
      <c r="AO2" s="167"/>
      <c r="AP2" s="167"/>
      <c r="AQ2" s="167"/>
      <c r="AR2" s="167"/>
      <c r="AS2" s="167"/>
      <c r="AT2" s="167"/>
      <c r="AU2" s="167"/>
      <c r="AV2" s="167"/>
      <c r="AW2" s="164"/>
      <c r="AX2" s="164"/>
      <c r="AY2" s="164"/>
      <c r="AZ2" s="164"/>
      <c r="BA2" s="164"/>
      <c r="BB2" s="164"/>
      <c r="BC2" s="164"/>
      <c r="BD2" s="164"/>
      <c r="BE2" s="164"/>
      <c r="BF2" s="164"/>
      <c r="BG2" s="164"/>
      <c r="BH2" s="164"/>
      <c r="BI2" s="164"/>
      <c r="BJ2" s="164"/>
      <c r="BK2" s="164"/>
      <c r="BL2" s="164"/>
    </row>
    <row r="3" spans="1:64" ht="15" thickTop="1" thickBot="1" x14ac:dyDescent="0.3">
      <c r="B3" s="98"/>
      <c r="D3" s="160" t="s">
        <v>9</v>
      </c>
      <c r="E3" s="497">
        <v>1</v>
      </c>
      <c r="F3" s="515"/>
      <c r="G3" s="516"/>
      <c r="H3" s="497">
        <v>2</v>
      </c>
      <c r="I3" s="498"/>
      <c r="J3" s="499"/>
      <c r="K3" s="497">
        <v>3</v>
      </c>
      <c r="L3" s="498"/>
      <c r="M3" s="499"/>
      <c r="N3" s="497">
        <v>4</v>
      </c>
      <c r="O3" s="498"/>
      <c r="P3" s="499"/>
      <c r="Q3" s="497">
        <v>5</v>
      </c>
      <c r="R3" s="498"/>
      <c r="S3" s="499"/>
      <c r="T3" s="497">
        <v>6</v>
      </c>
      <c r="U3" s="498"/>
      <c r="V3" s="499"/>
      <c r="W3" s="497">
        <v>7</v>
      </c>
      <c r="X3" s="498"/>
      <c r="Y3" s="499"/>
      <c r="Z3" s="497">
        <v>8</v>
      </c>
      <c r="AA3" s="498"/>
      <c r="AB3" s="499"/>
      <c r="AN3" s="182"/>
      <c r="AP3" s="175" t="str">
        <f>IF(COUNT(AR$3:AR$30)&gt;=$AX3,SMALL(AR$3:AR$30,$AX3),"")</f>
        <v/>
      </c>
      <c r="AQ3" s="383" t="str">
        <f>IF(COUNT(AS$3:AS$30)&gt;=$AX3,SMALL(AS$3:AS$30,$AX3),"")</f>
        <v/>
      </c>
      <c r="AR3" s="175" t="str">
        <f t="shared" ref="AR3:AR30" si="0">IF(COUNTIF($N$16:$N$71,AV3)&gt;0,"",AV3)</f>
        <v/>
      </c>
      <c r="AS3" s="383" t="str">
        <f t="shared" ref="AS3:AS30" si="1">IF(COUNTIF($N$16:$N$71,AW3)&gt;0,"",AW3)</f>
        <v/>
      </c>
      <c r="AT3" s="175">
        <f t="shared" ref="AT3:AU5" si="2">AV3</f>
        <v>121</v>
      </c>
      <c r="AU3" s="383">
        <f t="shared" si="2"/>
        <v>122</v>
      </c>
      <c r="AV3" s="175">
        <v>121</v>
      </c>
      <c r="AW3" s="383">
        <v>122</v>
      </c>
      <c r="AX3">
        <v>1</v>
      </c>
    </row>
    <row r="4" spans="1:64" ht="38.25" customHeight="1" thickTop="1" thickBot="1" x14ac:dyDescent="0.3">
      <c r="B4" s="98"/>
      <c r="D4" s="160" t="s">
        <v>10</v>
      </c>
      <c r="E4" s="504" t="s">
        <v>11</v>
      </c>
      <c r="F4" s="490"/>
      <c r="G4" s="491"/>
      <c r="H4" s="504" t="s">
        <v>12</v>
      </c>
      <c r="I4" s="490"/>
      <c r="J4" s="491"/>
      <c r="K4" s="504" t="s">
        <v>13</v>
      </c>
      <c r="L4" s="490"/>
      <c r="M4" s="491"/>
      <c r="N4" s="504" t="s">
        <v>14</v>
      </c>
      <c r="O4" s="513"/>
      <c r="P4" s="514"/>
      <c r="Q4" s="504" t="s">
        <v>15</v>
      </c>
      <c r="R4" s="513"/>
      <c r="S4" s="514"/>
      <c r="T4" s="504" t="s">
        <v>16</v>
      </c>
      <c r="U4" s="490"/>
      <c r="V4" s="491"/>
      <c r="W4" s="504" t="s">
        <v>17</v>
      </c>
      <c r="X4" s="490"/>
      <c r="Y4" s="491"/>
      <c r="Z4" s="504" t="s">
        <v>18</v>
      </c>
      <c r="AA4" s="490"/>
      <c r="AB4" s="491"/>
      <c r="AD4" s="519" t="s">
        <v>19</v>
      </c>
      <c r="AE4" s="520"/>
      <c r="AF4" s="521"/>
      <c r="AH4" s="153">
        <v>7</v>
      </c>
      <c r="AJ4" s="175">
        <v>1</v>
      </c>
      <c r="AK4" s="178" t="str">
        <f>IF(E4="",AJ4,E4)</f>
        <v>ツエーゲン
金沢U-15
1st</v>
      </c>
      <c r="AL4" s="181"/>
      <c r="AM4" s="181"/>
      <c r="AN4" s="154" t="str">
        <f>IF(E5="",AJ4,E5)</f>
        <v>ﾂｴｰｹﾞﾝ1st</v>
      </c>
      <c r="AP4" s="176" t="str">
        <f t="shared" ref="AP4:AP30" si="3">IF(COUNT(AR$3:AR$30)&gt;=$AX4,SMALL(AR$3:AR$30,$AX4),"")</f>
        <v/>
      </c>
      <c r="AQ4" s="384" t="str">
        <f t="shared" ref="AQ4:AQ30" si="4">IF(COUNT(AS$3:AS$30)&gt;=$AX4,SMALL(AS$3:AS$30,$AX4),"")</f>
        <v/>
      </c>
      <c r="AR4" s="176" t="str">
        <f t="shared" si="0"/>
        <v/>
      </c>
      <c r="AS4" s="384" t="str">
        <f t="shared" si="1"/>
        <v/>
      </c>
      <c r="AT4" s="176">
        <f t="shared" si="2"/>
        <v>131</v>
      </c>
      <c r="AU4" s="384">
        <f t="shared" si="2"/>
        <v>132</v>
      </c>
      <c r="AV4" s="176">
        <v>131</v>
      </c>
      <c r="AW4" s="384">
        <v>132</v>
      </c>
      <c r="AX4">
        <v>2</v>
      </c>
    </row>
    <row r="5" spans="1:64" ht="21" customHeight="1" thickTop="1" thickBot="1" x14ac:dyDescent="0.3">
      <c r="B5" s="98"/>
      <c r="D5" s="160" t="s">
        <v>20</v>
      </c>
      <c r="E5" s="489" t="s">
        <v>21</v>
      </c>
      <c r="F5" s="490"/>
      <c r="G5" s="491"/>
      <c r="H5" s="504" t="s">
        <v>22</v>
      </c>
      <c r="I5" s="490"/>
      <c r="J5" s="491"/>
      <c r="K5" s="489" t="s">
        <v>23</v>
      </c>
      <c r="L5" s="490"/>
      <c r="M5" s="491"/>
      <c r="N5" s="489" t="s">
        <v>24</v>
      </c>
      <c r="O5" s="490"/>
      <c r="P5" s="491"/>
      <c r="Q5" s="489" t="s">
        <v>25</v>
      </c>
      <c r="R5" s="490"/>
      <c r="S5" s="491"/>
      <c r="T5" s="489" t="s">
        <v>26</v>
      </c>
      <c r="U5" s="490"/>
      <c r="V5" s="491"/>
      <c r="W5" s="489" t="s">
        <v>27</v>
      </c>
      <c r="X5" s="490"/>
      <c r="Y5" s="491"/>
      <c r="Z5" s="489" t="s">
        <v>28</v>
      </c>
      <c r="AA5" s="490"/>
      <c r="AB5" s="491"/>
      <c r="AD5" s="522"/>
      <c r="AE5" s="523"/>
      <c r="AF5" s="524"/>
      <c r="AH5" s="158">
        <v>8</v>
      </c>
      <c r="AJ5" s="176">
        <v>2</v>
      </c>
      <c r="AK5" s="179" t="str">
        <f>IF(H4="",AJ5,H4)</f>
        <v>セブン能登
1st</v>
      </c>
      <c r="AN5" s="154" t="str">
        <f>IF(H5="",AJ5,H5)</f>
        <v>セブン1st</v>
      </c>
      <c r="AP5" s="176" t="str">
        <f t="shared" si="3"/>
        <v/>
      </c>
      <c r="AQ5" s="384" t="str">
        <f t="shared" si="4"/>
        <v/>
      </c>
      <c r="AR5" s="176" t="str">
        <f t="shared" si="0"/>
        <v/>
      </c>
      <c r="AS5" s="384" t="str">
        <f t="shared" si="1"/>
        <v/>
      </c>
      <c r="AT5" s="176">
        <f t="shared" si="2"/>
        <v>141</v>
      </c>
      <c r="AU5" s="384">
        <f t="shared" si="2"/>
        <v>142</v>
      </c>
      <c r="AV5" s="176">
        <v>141</v>
      </c>
      <c r="AW5" s="384">
        <v>142</v>
      </c>
      <c r="AX5">
        <v>3</v>
      </c>
    </row>
    <row r="6" spans="1:64" ht="14.65" thickTop="1" x14ac:dyDescent="0.25">
      <c r="B6" s="98" t="s">
        <v>29</v>
      </c>
      <c r="E6" s="156"/>
      <c r="F6" s="156"/>
      <c r="G6" s="156"/>
      <c r="AJ6" s="176">
        <v>3</v>
      </c>
      <c r="AK6" s="179" t="str">
        <f>IF(K4="",AJ6,K4)</f>
        <v>星稜中学校</v>
      </c>
      <c r="AN6" s="154" t="str">
        <f>IF(K5="",AJ6,K5)</f>
        <v>星稜中</v>
      </c>
      <c r="AP6" s="176" t="str">
        <f t="shared" si="3"/>
        <v/>
      </c>
      <c r="AQ6" s="384" t="str">
        <f t="shared" si="4"/>
        <v/>
      </c>
      <c r="AR6" s="176" t="str">
        <f t="shared" si="0"/>
        <v/>
      </c>
      <c r="AS6" s="384" t="str">
        <f t="shared" si="1"/>
        <v/>
      </c>
      <c r="AT6" s="176">
        <f>IF(N$1&gt;4,AV6,"")</f>
        <v>151</v>
      </c>
      <c r="AU6" s="384">
        <f>IF(N$1&gt;4,AW6,"")</f>
        <v>152</v>
      </c>
      <c r="AV6" s="176">
        <v>151</v>
      </c>
      <c r="AW6" s="384">
        <v>152</v>
      </c>
      <c r="AX6">
        <v>4</v>
      </c>
    </row>
    <row r="7" spans="1:64" ht="14.25" x14ac:dyDescent="0.25">
      <c r="B7" s="98"/>
      <c r="C7" s="98" t="s">
        <v>30</v>
      </c>
      <c r="E7" s="156"/>
      <c r="F7" s="156"/>
      <c r="G7" s="156"/>
      <c r="AJ7" s="176">
        <v>4</v>
      </c>
      <c r="AK7" s="179" t="str">
        <f>IF(N4="",AJ7,N4)</f>
        <v>Riopedra
加賀FC</v>
      </c>
      <c r="AN7" s="154" t="str">
        <f>IF(N5="",AJ7,N5)</f>
        <v>Riopedra</v>
      </c>
      <c r="AP7" s="176" t="str">
        <f t="shared" si="3"/>
        <v/>
      </c>
      <c r="AQ7" s="384" t="str">
        <f t="shared" si="4"/>
        <v/>
      </c>
      <c r="AR7" s="176" t="str">
        <f t="shared" si="0"/>
        <v/>
      </c>
      <c r="AS7" s="384" t="str">
        <f t="shared" si="1"/>
        <v/>
      </c>
      <c r="AT7" s="176">
        <f>IF(N$1&gt;5,AV7,"")</f>
        <v>161</v>
      </c>
      <c r="AU7" s="384">
        <f>IF(N$1&gt;5,AW7,"")</f>
        <v>162</v>
      </c>
      <c r="AV7" s="176">
        <v>161</v>
      </c>
      <c r="AW7" s="384">
        <v>162</v>
      </c>
      <c r="AX7">
        <v>5</v>
      </c>
    </row>
    <row r="8" spans="1:64" ht="14.25" x14ac:dyDescent="0.25">
      <c r="B8" s="98" t="s">
        <v>31</v>
      </c>
      <c r="E8" s="156"/>
      <c r="F8" s="156"/>
      <c r="G8" s="156"/>
      <c r="AJ8" s="176">
        <v>5</v>
      </c>
      <c r="AK8" s="179" t="str">
        <f>IF(Q4="",AJ8,Q4)</f>
        <v>FC小松
1st</v>
      </c>
      <c r="AN8" s="154" t="str">
        <f>IF(Q5="",AJ8,Q5)</f>
        <v>FC小松1st</v>
      </c>
      <c r="AP8" s="176" t="str">
        <f t="shared" si="3"/>
        <v/>
      </c>
      <c r="AQ8" s="384" t="str">
        <f t="shared" si="4"/>
        <v/>
      </c>
      <c r="AR8" s="176" t="str">
        <f t="shared" si="0"/>
        <v/>
      </c>
      <c r="AS8" s="384" t="str">
        <f t="shared" si="1"/>
        <v/>
      </c>
      <c r="AT8" s="176">
        <f>IF(N$1&gt;6,AV8,"")</f>
        <v>171</v>
      </c>
      <c r="AU8" s="384">
        <f>IF(N$1&gt;6,AW8,"")</f>
        <v>172</v>
      </c>
      <c r="AV8" s="176">
        <v>171</v>
      </c>
      <c r="AW8" s="384">
        <v>172</v>
      </c>
      <c r="AX8">
        <v>6</v>
      </c>
    </row>
    <row r="9" spans="1:64" x14ac:dyDescent="0.25">
      <c r="C9" t="s">
        <v>32</v>
      </c>
      <c r="R9" s="160" t="s">
        <v>33</v>
      </c>
      <c r="S9" t="s">
        <v>34</v>
      </c>
      <c r="AJ9" s="176">
        <v>6</v>
      </c>
      <c r="AK9" s="179" t="str">
        <f>IF(T4="",AJ9,T4)</f>
        <v>FC.
SOUTHERN
1st</v>
      </c>
      <c r="AN9" s="154" t="str">
        <f>IF(T5="",AJ9,T5)</f>
        <v>サザン1st</v>
      </c>
      <c r="AP9" s="176" t="str">
        <f t="shared" si="3"/>
        <v/>
      </c>
      <c r="AQ9" s="384" t="str">
        <f t="shared" si="4"/>
        <v/>
      </c>
      <c r="AR9" s="176" t="str">
        <f t="shared" si="0"/>
        <v/>
      </c>
      <c r="AS9" s="384" t="str">
        <f t="shared" si="1"/>
        <v/>
      </c>
      <c r="AT9" s="176">
        <f>IF(N$1&gt;7,AV9,"")</f>
        <v>181</v>
      </c>
      <c r="AU9" s="384">
        <f>IF(N$1&gt;7,AW9,"")</f>
        <v>182</v>
      </c>
      <c r="AV9" s="176">
        <f>IF($N$1=7,"",181)</f>
        <v>181</v>
      </c>
      <c r="AW9" s="384">
        <f>IF($N$1=7,"",182)</f>
        <v>182</v>
      </c>
      <c r="AX9">
        <v>7</v>
      </c>
    </row>
    <row r="10" spans="1:64" ht="14.25" x14ac:dyDescent="0.25">
      <c r="C10" s="98" t="s">
        <v>35</v>
      </c>
      <c r="AJ10" s="176">
        <v>7</v>
      </c>
      <c r="AK10" s="179" t="str">
        <f>IF(W4="",AJ10,W4)</f>
        <v>ヘミニス
金沢FC
1st</v>
      </c>
      <c r="AN10" s="154" t="str">
        <f>IF(W5="",AJ10,W5)</f>
        <v>ﾍﾐﾆｽ1st</v>
      </c>
      <c r="AP10" s="176" t="str">
        <f t="shared" si="3"/>
        <v/>
      </c>
      <c r="AQ10" s="384" t="str">
        <f t="shared" si="4"/>
        <v/>
      </c>
      <c r="AR10" s="176" t="str">
        <f t="shared" si="0"/>
        <v/>
      </c>
      <c r="AS10" s="384" t="str">
        <f t="shared" si="1"/>
        <v/>
      </c>
      <c r="AT10" s="176">
        <f>AV10</f>
        <v>231</v>
      </c>
      <c r="AU10" s="384">
        <f>AW10</f>
        <v>232</v>
      </c>
      <c r="AV10" s="176">
        <v>231</v>
      </c>
      <c r="AW10" s="384">
        <v>232</v>
      </c>
      <c r="AX10">
        <v>8</v>
      </c>
    </row>
    <row r="11" spans="1:64" ht="14.25" x14ac:dyDescent="0.25">
      <c r="B11" s="98" t="s">
        <v>36</v>
      </c>
      <c r="C11" s="98"/>
      <c r="AJ11" s="177">
        <v>8</v>
      </c>
      <c r="AK11" s="180" t="str">
        <f>IF(Z4="",AJ11,Z4)</f>
        <v>テイヘンズ
FC　1st</v>
      </c>
      <c r="AL11" s="149"/>
      <c r="AM11" s="149"/>
      <c r="AN11" s="154" t="str">
        <f>IF(Z5="",AJ11,Z5)</f>
        <v>ﾃｲﾍﾝｽﾞ1st</v>
      </c>
      <c r="AP11" s="176" t="str">
        <f t="shared" si="3"/>
        <v/>
      </c>
      <c r="AQ11" s="384" t="str">
        <f t="shared" si="4"/>
        <v/>
      </c>
      <c r="AR11" s="176" t="str">
        <f t="shared" si="0"/>
        <v/>
      </c>
      <c r="AS11" s="384" t="str">
        <f t="shared" si="1"/>
        <v/>
      </c>
      <c r="AT11" s="176">
        <f>AV11</f>
        <v>241</v>
      </c>
      <c r="AU11" s="384">
        <f>AW11</f>
        <v>242</v>
      </c>
      <c r="AV11" s="176">
        <v>241</v>
      </c>
      <c r="AW11" s="384">
        <v>242</v>
      </c>
      <c r="AX11">
        <v>9</v>
      </c>
    </row>
    <row r="12" spans="1:64" x14ac:dyDescent="0.25">
      <c r="C12" s="160"/>
      <c r="AF12" s="223" t="s">
        <v>37</v>
      </c>
      <c r="AN12" s="154" t="s">
        <v>38</v>
      </c>
      <c r="AP12" s="176" t="str">
        <f t="shared" si="3"/>
        <v/>
      </c>
      <c r="AQ12" s="384" t="str">
        <f t="shared" si="4"/>
        <v/>
      </c>
      <c r="AR12" s="176" t="str">
        <f t="shared" si="0"/>
        <v/>
      </c>
      <c r="AS12" s="384" t="str">
        <f t="shared" si="1"/>
        <v/>
      </c>
      <c r="AT12" s="176">
        <f>IF(N$1&gt;4,AV12,"")</f>
        <v>251</v>
      </c>
      <c r="AU12" s="384">
        <f>IF(N$1&gt;4,AW12,"")</f>
        <v>252</v>
      </c>
      <c r="AV12" s="176">
        <v>251</v>
      </c>
      <c r="AW12" s="384">
        <v>252</v>
      </c>
      <c r="AX12">
        <v>10</v>
      </c>
    </row>
    <row r="13" spans="1:64" ht="14.65" thickBot="1" x14ac:dyDescent="0.3">
      <c r="B13" s="98" t="s">
        <v>39</v>
      </c>
      <c r="G13" s="98" t="s">
        <v>40</v>
      </c>
      <c r="M13" s="98" t="s">
        <v>41</v>
      </c>
      <c r="P13">
        <v>4</v>
      </c>
      <c r="Q13">
        <v>5</v>
      </c>
      <c r="R13">
        <v>6</v>
      </c>
      <c r="S13">
        <v>7</v>
      </c>
      <c r="T13">
        <v>8</v>
      </c>
      <c r="U13">
        <v>9</v>
      </c>
      <c r="V13">
        <v>10</v>
      </c>
      <c r="W13">
        <v>11</v>
      </c>
      <c r="X13">
        <v>12</v>
      </c>
      <c r="Y13">
        <v>13</v>
      </c>
      <c r="Z13">
        <v>14</v>
      </c>
      <c r="AA13">
        <v>15</v>
      </c>
      <c r="AB13">
        <v>16</v>
      </c>
      <c r="AC13">
        <v>17</v>
      </c>
      <c r="AD13">
        <v>18</v>
      </c>
      <c r="AE13">
        <v>19</v>
      </c>
      <c r="AF13">
        <v>20</v>
      </c>
      <c r="AG13">
        <v>21</v>
      </c>
      <c r="AH13">
        <v>22</v>
      </c>
      <c r="AI13">
        <v>23</v>
      </c>
      <c r="AN13" s="154" t="s">
        <v>42</v>
      </c>
      <c r="AP13" s="176" t="str">
        <f t="shared" si="3"/>
        <v/>
      </c>
      <c r="AQ13" s="384" t="str">
        <f t="shared" si="4"/>
        <v/>
      </c>
      <c r="AR13" s="176" t="str">
        <f t="shared" si="0"/>
        <v/>
      </c>
      <c r="AS13" s="384" t="str">
        <f t="shared" si="1"/>
        <v/>
      </c>
      <c r="AT13" s="176">
        <f>IF(N$1&gt;5,AV13,"")</f>
        <v>261</v>
      </c>
      <c r="AU13" s="384">
        <f>IF(N$1&gt;5,AW13,"")</f>
        <v>262</v>
      </c>
      <c r="AV13" s="176">
        <v>261</v>
      </c>
      <c r="AW13" s="384">
        <v>262</v>
      </c>
      <c r="AX13">
        <v>11</v>
      </c>
    </row>
    <row r="14" spans="1:64" ht="13.5" thickTop="1" thickBot="1" x14ac:dyDescent="0.3">
      <c r="B14" s="470" t="s">
        <v>43</v>
      </c>
      <c r="C14" s="472" t="s">
        <v>44</v>
      </c>
      <c r="D14" s="481" t="s">
        <v>45</v>
      </c>
      <c r="E14" s="482"/>
      <c r="G14" s="483" t="s">
        <v>46</v>
      </c>
      <c r="H14" s="484"/>
      <c r="I14" s="485"/>
      <c r="J14" s="483" t="s">
        <v>47</v>
      </c>
      <c r="K14" s="485"/>
      <c r="N14" s="502" t="s">
        <v>48</v>
      </c>
      <c r="O14" s="503"/>
      <c r="Q14" s="502" t="s">
        <v>48</v>
      </c>
      <c r="R14" s="503"/>
      <c r="T14" s="502" t="s">
        <v>48</v>
      </c>
      <c r="U14" s="503"/>
      <c r="V14" s="500" t="s">
        <v>4</v>
      </c>
      <c r="W14" s="501"/>
      <c r="X14" s="494" t="s">
        <v>49</v>
      </c>
      <c r="Y14" s="495"/>
      <c r="Z14" s="495"/>
      <c r="AA14" s="495"/>
      <c r="AB14" s="495"/>
      <c r="AC14" s="496"/>
      <c r="AD14" s="502" t="s">
        <v>48</v>
      </c>
      <c r="AE14" s="503"/>
      <c r="AN14" s="154" t="s">
        <v>50</v>
      </c>
      <c r="AP14" s="176" t="str">
        <f t="shared" si="3"/>
        <v/>
      </c>
      <c r="AQ14" s="384" t="str">
        <f t="shared" si="4"/>
        <v/>
      </c>
      <c r="AR14" s="176" t="str">
        <f t="shared" si="0"/>
        <v/>
      </c>
      <c r="AS14" s="384" t="str">
        <f t="shared" si="1"/>
        <v/>
      </c>
      <c r="AT14" s="176">
        <f>IF(N$1&gt;6,AV14,"")</f>
        <v>271</v>
      </c>
      <c r="AU14" s="384">
        <f>IF(N$1&gt;6,AW14,"")</f>
        <v>272</v>
      </c>
      <c r="AV14" s="176">
        <v>271</v>
      </c>
      <c r="AW14" s="384">
        <v>272</v>
      </c>
      <c r="AX14">
        <v>12</v>
      </c>
    </row>
    <row r="15" spans="1:64" ht="13.15" thickBot="1" x14ac:dyDescent="0.3">
      <c r="B15" s="471"/>
      <c r="C15" s="473"/>
      <c r="D15" s="169" t="s">
        <v>51</v>
      </c>
      <c r="E15" s="173" t="s">
        <v>52</v>
      </c>
      <c r="G15" s="474" t="s">
        <v>53</v>
      </c>
      <c r="H15" s="475"/>
      <c r="I15" s="476"/>
      <c r="J15" s="474" t="s">
        <v>54</v>
      </c>
      <c r="K15" s="476"/>
      <c r="N15" s="477" t="s">
        <v>55</v>
      </c>
      <c r="O15" s="478"/>
      <c r="P15" s="159" t="s">
        <v>45</v>
      </c>
      <c r="Q15" s="478" t="s">
        <v>56</v>
      </c>
      <c r="R15" s="478"/>
      <c r="S15" s="159" t="s">
        <v>44</v>
      </c>
      <c r="T15" s="478" t="s">
        <v>47</v>
      </c>
      <c r="U15" s="478"/>
      <c r="V15" s="478" t="s">
        <v>57</v>
      </c>
      <c r="W15" s="478"/>
      <c r="X15" s="478" t="s">
        <v>58</v>
      </c>
      <c r="Y15" s="478"/>
      <c r="Z15" s="478"/>
      <c r="AA15" s="478" t="s">
        <v>59</v>
      </c>
      <c r="AB15" s="478"/>
      <c r="AC15" s="493"/>
      <c r="AD15" s="478" t="s">
        <v>60</v>
      </c>
      <c r="AE15" s="478"/>
      <c r="AF15" s="192" t="s">
        <v>61</v>
      </c>
      <c r="AG15" s="193"/>
      <c r="AH15" s="193"/>
      <c r="AI15" s="193"/>
      <c r="AL15" s="156"/>
      <c r="AN15" s="154" t="s">
        <v>62</v>
      </c>
      <c r="AP15" s="176" t="str">
        <f t="shared" si="3"/>
        <v/>
      </c>
      <c r="AQ15" s="384" t="str">
        <f t="shared" si="4"/>
        <v/>
      </c>
      <c r="AR15" s="176" t="str">
        <f t="shared" si="0"/>
        <v/>
      </c>
      <c r="AS15" s="384" t="str">
        <f t="shared" si="1"/>
        <v/>
      </c>
      <c r="AT15" s="176">
        <f>IF(N$1&gt;7,AV15,"")</f>
        <v>281</v>
      </c>
      <c r="AU15" s="384">
        <f>IF(N$1&gt;7,AW15,"")</f>
        <v>282</v>
      </c>
      <c r="AV15" s="176">
        <f>IF($N$1=7,"",281)</f>
        <v>281</v>
      </c>
      <c r="AW15" s="384">
        <f>IF($N$1=7,"",282)</f>
        <v>282</v>
      </c>
      <c r="AX15">
        <v>13</v>
      </c>
    </row>
    <row r="16" spans="1:64" ht="13.15" thickTop="1" x14ac:dyDescent="0.25">
      <c r="B16" s="198">
        <v>42489</v>
      </c>
      <c r="C16" s="199" t="str">
        <f>TEXT(B16,"aaa")</f>
        <v>金</v>
      </c>
      <c r="D16" s="200" t="s">
        <v>63</v>
      </c>
      <c r="E16" s="201" t="s">
        <v>64</v>
      </c>
      <c r="F16">
        <v>1</v>
      </c>
      <c r="G16" s="479"/>
      <c r="H16" s="512"/>
      <c r="I16" s="480"/>
      <c r="J16" s="479"/>
      <c r="K16" s="480"/>
      <c r="M16">
        <v>1</v>
      </c>
      <c r="N16" s="437">
        <v>341</v>
      </c>
      <c r="O16" s="438"/>
      <c r="P16" s="185" t="str">
        <f>IF(N16="","",INDEX($B$16:$F$68,MATCH(Q16,$B$16:$B$68,1),4))</f>
        <v>①</v>
      </c>
      <c r="Q16" s="507">
        <v>42489</v>
      </c>
      <c r="R16" s="508"/>
      <c r="S16" s="185" t="str">
        <f t="shared" ref="S16:S47" si="5">IF(N16="","",INDEX($B$16:$F$68,MATCH(Q16,$B$16:$B$68,1),2))</f>
        <v>金</v>
      </c>
      <c r="T16" s="505" t="s">
        <v>65</v>
      </c>
      <c r="U16" s="506"/>
      <c r="V16" s="509">
        <v>0.375</v>
      </c>
      <c r="W16" s="509"/>
      <c r="X16" s="486" t="str">
        <f t="shared" ref="X16:X47" si="6">IF(N16="","",INDEX($AJ$4:$AK$11,MATCH(VALUE(LEFT(N16)),$AJ$4:$AJ$11,1),2))</f>
        <v>星稜中学校</v>
      </c>
      <c r="Y16" s="487"/>
      <c r="Z16" s="488"/>
      <c r="AA16" s="492" t="str">
        <f t="shared" ref="AA16:AA47" si="7">IF(N16="","",INDEX($AJ$4:$AK$11,MATCH(VALUE(MID(N16,2,1)),$AJ$4:$AJ$11,1),2))</f>
        <v>Riopedra
加賀FC</v>
      </c>
      <c r="AB16" s="492"/>
      <c r="AC16" s="492"/>
      <c r="AD16" s="408" t="s">
        <v>66</v>
      </c>
      <c r="AE16" s="409" t="s">
        <v>67</v>
      </c>
      <c r="AF16" s="517">
        <f>IF(N16="","",Q16*100+IF(T16="",0,INDEX($F$16:$J$60,MATCH(T16,$J$16:$J$60,0),1))+V16+N16/100000)</f>
        <v>4248902.3784100004</v>
      </c>
      <c r="AG16" s="518"/>
      <c r="AH16" s="518"/>
      <c r="AI16" s="194">
        <f t="shared" ref="AI16:AI70" si="8">IF(Q16="","",RANK(AF16,$AF$16:$AF$71,1))</f>
        <v>1</v>
      </c>
      <c r="AJ16" s="183"/>
      <c r="AL16" s="156"/>
      <c r="AN16" s="154" t="s">
        <v>68</v>
      </c>
      <c r="AP16" s="176" t="str">
        <f t="shared" si="3"/>
        <v/>
      </c>
      <c r="AQ16" s="384" t="str">
        <f t="shared" si="4"/>
        <v/>
      </c>
      <c r="AR16" s="176" t="str">
        <f t="shared" si="0"/>
        <v/>
      </c>
      <c r="AS16" s="384" t="str">
        <f t="shared" si="1"/>
        <v/>
      </c>
      <c r="AT16" s="176">
        <f>AV16</f>
        <v>341</v>
      </c>
      <c r="AU16" s="384">
        <f>AW16</f>
        <v>342</v>
      </c>
      <c r="AV16" s="176">
        <v>341</v>
      </c>
      <c r="AW16" s="384">
        <v>342</v>
      </c>
      <c r="AX16">
        <v>14</v>
      </c>
    </row>
    <row r="17" spans="2:50" x14ac:dyDescent="0.25">
      <c r="B17" s="335">
        <v>42491</v>
      </c>
      <c r="C17" s="336" t="str">
        <f>TEXT(B17,"aaa")</f>
        <v>日</v>
      </c>
      <c r="D17" s="202" t="s">
        <v>69</v>
      </c>
      <c r="E17" s="376" t="s">
        <v>70</v>
      </c>
      <c r="F17">
        <v>2</v>
      </c>
      <c r="G17" s="461" t="s">
        <v>71</v>
      </c>
      <c r="H17" s="462"/>
      <c r="I17" s="463"/>
      <c r="J17" s="461" t="s">
        <v>65</v>
      </c>
      <c r="K17" s="463"/>
      <c r="M17">
        <v>2</v>
      </c>
      <c r="N17" s="437">
        <v>561</v>
      </c>
      <c r="O17" s="438"/>
      <c r="P17" s="184" t="str">
        <f>IF(N17="","",INDEX($B$16:$F$68,MATCH(Q17,$B$16:$B$68,1),4))</f>
        <v>①</v>
      </c>
      <c r="Q17" s="430">
        <v>42489</v>
      </c>
      <c r="R17" s="431"/>
      <c r="S17" s="185" t="str">
        <f t="shared" si="5"/>
        <v>金</v>
      </c>
      <c r="T17" s="435" t="s">
        <v>65</v>
      </c>
      <c r="U17" s="436"/>
      <c r="V17" s="426">
        <v>0.4513888888888889</v>
      </c>
      <c r="W17" s="426"/>
      <c r="X17" s="420" t="str">
        <f t="shared" si="6"/>
        <v>FC小松
1st</v>
      </c>
      <c r="Y17" s="420"/>
      <c r="Z17" s="420"/>
      <c r="AA17" s="420" t="str">
        <f t="shared" si="7"/>
        <v>FC.
SOUTHERN
1st</v>
      </c>
      <c r="AB17" s="420"/>
      <c r="AC17" s="420"/>
      <c r="AD17" s="410" t="s">
        <v>72</v>
      </c>
      <c r="AE17" s="411" t="s">
        <v>73</v>
      </c>
      <c r="AF17" s="517">
        <f t="shared" ref="AF17:AF71" si="9">IF(N17="","",Q17*100+IF(T17="",0,INDEX($F$16:$J$60,MATCH(T17,$J$16:$J$60,0),1))+V17+N17/100000)</f>
        <v>4248902.4569988893</v>
      </c>
      <c r="AG17" s="518"/>
      <c r="AH17" s="518"/>
      <c r="AI17" s="194">
        <f t="shared" si="8"/>
        <v>2</v>
      </c>
      <c r="AJ17" s="183"/>
      <c r="AN17" s="154" t="s">
        <v>74</v>
      </c>
      <c r="AP17" s="176" t="str">
        <f t="shared" si="3"/>
        <v/>
      </c>
      <c r="AQ17" s="384" t="str">
        <f t="shared" si="4"/>
        <v/>
      </c>
      <c r="AR17" s="176" t="str">
        <f t="shared" si="0"/>
        <v/>
      </c>
      <c r="AS17" s="384" t="str">
        <f t="shared" si="1"/>
        <v/>
      </c>
      <c r="AT17" s="176">
        <f>IF(N$1&gt;4,AV17,"")</f>
        <v>351</v>
      </c>
      <c r="AU17" s="384">
        <f>IF(N$1&gt;4,AW17,"")</f>
        <v>352</v>
      </c>
      <c r="AV17" s="176">
        <v>351</v>
      </c>
      <c r="AW17" s="384">
        <v>352</v>
      </c>
      <c r="AX17">
        <v>15</v>
      </c>
    </row>
    <row r="18" spans="2:50" x14ac:dyDescent="0.25">
      <c r="B18" s="93">
        <v>42497</v>
      </c>
      <c r="C18" s="89" t="str">
        <f t="shared" ref="C18:C54" si="10">TEXT(B18,"aaa")</f>
        <v>土</v>
      </c>
      <c r="D18" s="121" t="s">
        <v>75</v>
      </c>
      <c r="E18" s="171" t="s">
        <v>76</v>
      </c>
      <c r="F18">
        <v>3</v>
      </c>
      <c r="G18" s="461" t="s">
        <v>77</v>
      </c>
      <c r="H18" s="462"/>
      <c r="I18" s="463"/>
      <c r="J18" s="461" t="s">
        <v>77</v>
      </c>
      <c r="K18" s="463"/>
      <c r="M18">
        <v>3</v>
      </c>
      <c r="N18" s="437">
        <v>271</v>
      </c>
      <c r="O18" s="438"/>
      <c r="P18" s="184" t="str">
        <f>IF(N18="","",INDEX($B$16:$F$68,MATCH(Q18,$B$16:$B$68,1),4))</f>
        <v>①</v>
      </c>
      <c r="Q18" s="430">
        <v>42489</v>
      </c>
      <c r="R18" s="431"/>
      <c r="S18" s="185" t="str">
        <f t="shared" si="5"/>
        <v>金</v>
      </c>
      <c r="T18" s="433" t="s">
        <v>78</v>
      </c>
      <c r="U18" s="434"/>
      <c r="V18" s="426">
        <v>0.46527777777777773</v>
      </c>
      <c r="W18" s="426"/>
      <c r="X18" s="420" t="str">
        <f t="shared" si="6"/>
        <v>セブン能登
1st</v>
      </c>
      <c r="Y18" s="420"/>
      <c r="Z18" s="420"/>
      <c r="AA18" s="420" t="str">
        <f t="shared" si="7"/>
        <v>ヘミニス
金沢FC
1st</v>
      </c>
      <c r="AB18" s="420"/>
      <c r="AC18" s="420"/>
      <c r="AD18" s="410" t="s">
        <v>79</v>
      </c>
      <c r="AE18" s="411" t="s">
        <v>80</v>
      </c>
      <c r="AF18" s="517">
        <f t="shared" si="9"/>
        <v>4248923.4679877777</v>
      </c>
      <c r="AG18" s="518"/>
      <c r="AH18" s="518"/>
      <c r="AI18" s="194">
        <f t="shared" si="8"/>
        <v>3</v>
      </c>
      <c r="AJ18" s="183"/>
      <c r="AN18" s="154" t="s">
        <v>81</v>
      </c>
      <c r="AP18" s="176" t="str">
        <f t="shared" si="3"/>
        <v/>
      </c>
      <c r="AQ18" s="384" t="str">
        <f t="shared" si="4"/>
        <v/>
      </c>
      <c r="AR18" s="176" t="str">
        <f t="shared" si="0"/>
        <v/>
      </c>
      <c r="AS18" s="384" t="str">
        <f t="shared" si="1"/>
        <v/>
      </c>
      <c r="AT18" s="176">
        <f>IF(N$1&gt;5,AV18,"")</f>
        <v>361</v>
      </c>
      <c r="AU18" s="384">
        <f>IF(N$1&gt;5,AW18,"")</f>
        <v>362</v>
      </c>
      <c r="AV18" s="176">
        <v>361</v>
      </c>
      <c r="AW18" s="384">
        <v>362</v>
      </c>
      <c r="AX18">
        <v>16</v>
      </c>
    </row>
    <row r="19" spans="2:50" x14ac:dyDescent="0.25">
      <c r="B19" s="94">
        <v>42498</v>
      </c>
      <c r="C19" s="90" t="str">
        <f t="shared" si="10"/>
        <v>日</v>
      </c>
      <c r="D19" s="122" t="s">
        <v>75</v>
      </c>
      <c r="E19" s="203" t="s">
        <v>76</v>
      </c>
      <c r="F19">
        <v>4</v>
      </c>
      <c r="G19" s="461"/>
      <c r="H19" s="462"/>
      <c r="I19" s="463"/>
      <c r="J19" s="461"/>
      <c r="K19" s="463"/>
      <c r="M19">
        <v>4</v>
      </c>
      <c r="N19" s="437">
        <v>181</v>
      </c>
      <c r="O19" s="438"/>
      <c r="P19" s="184" t="str">
        <f>IF(N19="","",INDEX($B$16:$F$68,MATCH(Q19,$B$16:$B$68,1),4))</f>
        <v>①</v>
      </c>
      <c r="Q19" s="430">
        <v>42489</v>
      </c>
      <c r="R19" s="431"/>
      <c r="S19" s="185" t="str">
        <f t="shared" si="5"/>
        <v>金</v>
      </c>
      <c r="T19" s="433" t="s">
        <v>78</v>
      </c>
      <c r="U19" s="434"/>
      <c r="V19" s="426">
        <v>0.54166666666666663</v>
      </c>
      <c r="W19" s="426"/>
      <c r="X19" s="427" t="str">
        <f t="shared" si="6"/>
        <v>ツエーゲン
金沢U-15
1st</v>
      </c>
      <c r="Y19" s="428"/>
      <c r="Z19" s="429"/>
      <c r="AA19" s="420" t="str">
        <f t="shared" si="7"/>
        <v>テイヘンズ
FC　1st</v>
      </c>
      <c r="AB19" s="420"/>
      <c r="AC19" s="420"/>
      <c r="AD19" s="410" t="s">
        <v>82</v>
      </c>
      <c r="AE19" s="411" t="s">
        <v>83</v>
      </c>
      <c r="AF19" s="517">
        <f t="shared" si="9"/>
        <v>4248923.5434766673</v>
      </c>
      <c r="AG19" s="518"/>
      <c r="AH19" s="518"/>
      <c r="AI19" s="194">
        <f t="shared" si="8"/>
        <v>4</v>
      </c>
      <c r="AK19" s="156"/>
      <c r="AN19" s="154" t="s">
        <v>84</v>
      </c>
      <c r="AP19" s="176" t="str">
        <f t="shared" si="3"/>
        <v/>
      </c>
      <c r="AQ19" s="384" t="str">
        <f t="shared" si="4"/>
        <v/>
      </c>
      <c r="AR19" s="176" t="str">
        <f t="shared" si="0"/>
        <v/>
      </c>
      <c r="AS19" s="384" t="str">
        <f t="shared" si="1"/>
        <v/>
      </c>
      <c r="AT19" s="176">
        <f>IF(N$1&gt;6,AV19,"")</f>
        <v>371</v>
      </c>
      <c r="AU19" s="384">
        <f>IF(N$1&gt;6,AW19,"")</f>
        <v>372</v>
      </c>
      <c r="AV19" s="176">
        <v>371</v>
      </c>
      <c r="AW19" s="384">
        <v>372</v>
      </c>
      <c r="AX19">
        <v>17</v>
      </c>
    </row>
    <row r="20" spans="2:50" x14ac:dyDescent="0.25">
      <c r="B20" s="93">
        <v>42504</v>
      </c>
      <c r="C20" s="89" t="str">
        <f t="shared" si="10"/>
        <v>土</v>
      </c>
      <c r="D20" s="121" t="s">
        <v>85</v>
      </c>
      <c r="E20" s="171" t="s">
        <v>86</v>
      </c>
      <c r="F20">
        <v>5</v>
      </c>
      <c r="G20" s="461" t="s">
        <v>87</v>
      </c>
      <c r="H20" s="462"/>
      <c r="I20" s="463"/>
      <c r="J20" s="461" t="s">
        <v>88</v>
      </c>
      <c r="K20" s="463"/>
      <c r="M20">
        <v>5</v>
      </c>
      <c r="N20" s="437">
        <v>241</v>
      </c>
      <c r="O20" s="438"/>
      <c r="P20" s="184" t="str">
        <f t="shared" ref="P20:P26" si="11">IF(N20="","",INDEX($B$16:$F$68,MATCH(Q20,$B$16:$B$68,1),4))</f>
        <v>②</v>
      </c>
      <c r="Q20" s="430">
        <v>42491</v>
      </c>
      <c r="R20" s="431"/>
      <c r="S20" s="185" t="str">
        <f t="shared" si="5"/>
        <v>日</v>
      </c>
      <c r="T20" s="433" t="s">
        <v>78</v>
      </c>
      <c r="U20" s="434"/>
      <c r="V20" s="426">
        <v>0.53472222222222221</v>
      </c>
      <c r="W20" s="426"/>
      <c r="X20" s="420" t="str">
        <f t="shared" si="6"/>
        <v>セブン能登
1st</v>
      </c>
      <c r="Y20" s="420"/>
      <c r="Z20" s="420"/>
      <c r="AA20" s="420" t="str">
        <f t="shared" si="7"/>
        <v>Riopedra
加賀FC</v>
      </c>
      <c r="AB20" s="420"/>
      <c r="AC20" s="420"/>
      <c r="AD20" s="410" t="s">
        <v>80</v>
      </c>
      <c r="AE20" s="411" t="s">
        <v>66</v>
      </c>
      <c r="AF20" s="517">
        <f t="shared" si="9"/>
        <v>4249123.5371322222</v>
      </c>
      <c r="AG20" s="518"/>
      <c r="AH20" s="518"/>
      <c r="AI20" s="194">
        <f t="shared" si="8"/>
        <v>5</v>
      </c>
      <c r="AN20" s="154" t="s">
        <v>89</v>
      </c>
      <c r="AP20" s="176" t="str">
        <f t="shared" si="3"/>
        <v/>
      </c>
      <c r="AQ20" s="384" t="str">
        <f t="shared" si="4"/>
        <v/>
      </c>
      <c r="AR20" s="176" t="str">
        <f t="shared" si="0"/>
        <v/>
      </c>
      <c r="AS20" s="384" t="str">
        <f t="shared" si="1"/>
        <v/>
      </c>
      <c r="AT20" s="176">
        <f>IF(N$1&gt;7,AV20,"")</f>
        <v>381</v>
      </c>
      <c r="AU20" s="384">
        <f>IF(N$1&gt;7,AW20,"")</f>
        <v>382</v>
      </c>
      <c r="AV20" s="176">
        <f>IF($N$1=7,"",381)</f>
        <v>381</v>
      </c>
      <c r="AW20" s="384">
        <f>IF($N$1=7,"",382)</f>
        <v>382</v>
      </c>
      <c r="AX20">
        <v>18</v>
      </c>
    </row>
    <row r="21" spans="2:50" x14ac:dyDescent="0.25">
      <c r="B21" s="94">
        <v>42505</v>
      </c>
      <c r="C21" s="90" t="str">
        <f t="shared" si="10"/>
        <v>日</v>
      </c>
      <c r="D21" s="122" t="s">
        <v>85</v>
      </c>
      <c r="E21" s="203" t="s">
        <v>86</v>
      </c>
      <c r="F21">
        <v>6</v>
      </c>
      <c r="G21" s="461" t="s">
        <v>90</v>
      </c>
      <c r="H21" s="462"/>
      <c r="I21" s="463"/>
      <c r="J21" s="461" t="s">
        <v>91</v>
      </c>
      <c r="K21" s="463"/>
      <c r="M21">
        <v>6</v>
      </c>
      <c r="N21" s="437">
        <v>681</v>
      </c>
      <c r="O21" s="438"/>
      <c r="P21" s="184" t="str">
        <f t="shared" si="11"/>
        <v>②</v>
      </c>
      <c r="Q21" s="430">
        <v>42491</v>
      </c>
      <c r="R21" s="431"/>
      <c r="S21" s="185" t="str">
        <f t="shared" si="5"/>
        <v>日</v>
      </c>
      <c r="T21" s="433" t="s">
        <v>78</v>
      </c>
      <c r="U21" s="434"/>
      <c r="V21" s="426">
        <v>0.61111111111111105</v>
      </c>
      <c r="W21" s="426"/>
      <c r="X21" s="420" t="str">
        <f t="shared" si="6"/>
        <v>FC.
SOUTHERN
1st</v>
      </c>
      <c r="Y21" s="420"/>
      <c r="Z21" s="420"/>
      <c r="AA21" s="420" t="str">
        <f t="shared" si="7"/>
        <v>テイヘンズ
FC　1st</v>
      </c>
      <c r="AB21" s="420"/>
      <c r="AC21" s="420"/>
      <c r="AD21" s="410" t="s">
        <v>82</v>
      </c>
      <c r="AE21" s="411" t="s">
        <v>73</v>
      </c>
      <c r="AF21" s="517">
        <f t="shared" si="9"/>
        <v>4249123.6179211112</v>
      </c>
      <c r="AG21" s="518"/>
      <c r="AH21" s="518"/>
      <c r="AI21" s="194">
        <f t="shared" si="8"/>
        <v>6</v>
      </c>
      <c r="AN21" s="154" t="s">
        <v>92</v>
      </c>
      <c r="AP21" s="176" t="str">
        <f t="shared" si="3"/>
        <v/>
      </c>
      <c r="AQ21" s="384" t="str">
        <f t="shared" si="4"/>
        <v/>
      </c>
      <c r="AR21" s="176" t="str">
        <f t="shared" si="0"/>
        <v/>
      </c>
      <c r="AS21" s="384" t="str">
        <f t="shared" si="1"/>
        <v/>
      </c>
      <c r="AT21" s="176">
        <f>IF(N$1&gt;4,AV21,"")</f>
        <v>451</v>
      </c>
      <c r="AU21" s="384">
        <f>IF(N$1&gt;4,AW21,"")</f>
        <v>452</v>
      </c>
      <c r="AV21" s="176">
        <v>451</v>
      </c>
      <c r="AW21" s="384">
        <v>452</v>
      </c>
      <c r="AX21">
        <v>19</v>
      </c>
    </row>
    <row r="22" spans="2:50" x14ac:dyDescent="0.25">
      <c r="B22" s="93">
        <v>42511</v>
      </c>
      <c r="C22" s="89" t="str">
        <f t="shared" si="10"/>
        <v>土</v>
      </c>
      <c r="D22" s="121" t="s">
        <v>93</v>
      </c>
      <c r="E22" s="171" t="s">
        <v>94</v>
      </c>
      <c r="F22">
        <v>7</v>
      </c>
      <c r="G22" s="461" t="s">
        <v>95</v>
      </c>
      <c r="H22" s="462"/>
      <c r="I22" s="463"/>
      <c r="J22" s="461" t="s">
        <v>96</v>
      </c>
      <c r="K22" s="463"/>
      <c r="M22">
        <v>7</v>
      </c>
      <c r="N22" s="437">
        <v>371</v>
      </c>
      <c r="O22" s="438"/>
      <c r="P22" s="184" t="str">
        <f t="shared" si="11"/>
        <v>②</v>
      </c>
      <c r="Q22" s="430">
        <v>42493</v>
      </c>
      <c r="R22" s="431"/>
      <c r="S22" s="185" t="str">
        <f t="shared" si="5"/>
        <v>日</v>
      </c>
      <c r="T22" s="433" t="s">
        <v>96</v>
      </c>
      <c r="U22" s="434"/>
      <c r="V22" s="426">
        <v>0.39583333333333331</v>
      </c>
      <c r="W22" s="426"/>
      <c r="X22" s="420" t="str">
        <f t="shared" si="6"/>
        <v>星稜中学校</v>
      </c>
      <c r="Y22" s="420"/>
      <c r="Z22" s="420"/>
      <c r="AA22" s="420" t="str">
        <f t="shared" si="7"/>
        <v>ヘミニス
金沢FC
1st</v>
      </c>
      <c r="AB22" s="420"/>
      <c r="AC22" s="420"/>
      <c r="AD22" s="410" t="s">
        <v>67</v>
      </c>
      <c r="AE22" s="411" t="s">
        <v>79</v>
      </c>
      <c r="AF22" s="517">
        <f t="shared" si="9"/>
        <v>4249307.3995433329</v>
      </c>
      <c r="AG22" s="518"/>
      <c r="AH22" s="518"/>
      <c r="AI22" s="194">
        <f t="shared" si="8"/>
        <v>7</v>
      </c>
      <c r="AN22" s="154" t="s">
        <v>97</v>
      </c>
      <c r="AP22" s="176" t="str">
        <f t="shared" si="3"/>
        <v/>
      </c>
      <c r="AQ22" s="384" t="str">
        <f t="shared" si="4"/>
        <v/>
      </c>
      <c r="AR22" s="176" t="str">
        <f t="shared" si="0"/>
        <v/>
      </c>
      <c r="AS22" s="384" t="str">
        <f t="shared" si="1"/>
        <v/>
      </c>
      <c r="AT22" s="176">
        <f>IF(N$1&gt;5,AV22,"")</f>
        <v>461</v>
      </c>
      <c r="AU22" s="384">
        <f>IF(N$1&gt;5,AW22,"")</f>
        <v>462</v>
      </c>
      <c r="AV22" s="176">
        <v>461</v>
      </c>
      <c r="AW22" s="384">
        <v>462</v>
      </c>
      <c r="AX22">
        <v>20</v>
      </c>
    </row>
    <row r="23" spans="2:50" x14ac:dyDescent="0.25">
      <c r="B23" s="94">
        <v>42512</v>
      </c>
      <c r="C23" s="90" t="str">
        <f t="shared" si="10"/>
        <v>日</v>
      </c>
      <c r="D23" s="122" t="s">
        <v>93</v>
      </c>
      <c r="E23" s="203" t="s">
        <v>94</v>
      </c>
      <c r="F23">
        <v>8</v>
      </c>
      <c r="G23" s="461" t="s">
        <v>98</v>
      </c>
      <c r="H23" s="462"/>
      <c r="I23" s="463"/>
      <c r="J23" s="461" t="s">
        <v>99</v>
      </c>
      <c r="K23" s="463"/>
      <c r="M23">
        <v>8</v>
      </c>
      <c r="N23" s="437">
        <v>151</v>
      </c>
      <c r="O23" s="438"/>
      <c r="P23" s="184" t="str">
        <f t="shared" si="11"/>
        <v>②</v>
      </c>
      <c r="Q23" s="430">
        <v>42493</v>
      </c>
      <c r="R23" s="431"/>
      <c r="S23" s="185" t="str">
        <f t="shared" si="5"/>
        <v>日</v>
      </c>
      <c r="T23" s="433" t="s">
        <v>96</v>
      </c>
      <c r="U23" s="434"/>
      <c r="V23" s="426">
        <v>0.47222222222222227</v>
      </c>
      <c r="W23" s="426"/>
      <c r="X23" s="427" t="str">
        <f t="shared" si="6"/>
        <v>ツエーゲン
金沢U-15
1st</v>
      </c>
      <c r="Y23" s="428"/>
      <c r="Z23" s="429"/>
      <c r="AA23" s="420" t="str">
        <f t="shared" si="7"/>
        <v>FC小松
1st</v>
      </c>
      <c r="AB23" s="420"/>
      <c r="AC23" s="420"/>
      <c r="AD23" s="410" t="s">
        <v>83</v>
      </c>
      <c r="AE23" s="411" t="s">
        <v>67</v>
      </c>
      <c r="AF23" s="517">
        <f t="shared" si="9"/>
        <v>4249307.4737322219</v>
      </c>
      <c r="AG23" s="518"/>
      <c r="AH23" s="518"/>
      <c r="AI23" s="194">
        <f t="shared" si="8"/>
        <v>8</v>
      </c>
      <c r="AN23" s="154" t="s">
        <v>100</v>
      </c>
      <c r="AP23" s="176" t="str">
        <f t="shared" si="3"/>
        <v/>
      </c>
      <c r="AQ23" s="384" t="str">
        <f t="shared" si="4"/>
        <v/>
      </c>
      <c r="AR23" s="176" t="str">
        <f t="shared" si="0"/>
        <v/>
      </c>
      <c r="AS23" s="384" t="str">
        <f t="shared" si="1"/>
        <v/>
      </c>
      <c r="AT23" s="176">
        <f>IF(N$1&gt;6,AV23,"")</f>
        <v>471</v>
      </c>
      <c r="AU23" s="384">
        <f>IF(N$1&gt;6,AW23,"")</f>
        <v>472</v>
      </c>
      <c r="AV23" s="176">
        <v>471</v>
      </c>
      <c r="AW23" s="384">
        <v>472</v>
      </c>
      <c r="AX23">
        <v>21</v>
      </c>
    </row>
    <row r="24" spans="2:50" x14ac:dyDescent="0.25">
      <c r="B24" s="93">
        <v>42518</v>
      </c>
      <c r="C24" s="89" t="str">
        <f t="shared" si="10"/>
        <v>土</v>
      </c>
      <c r="D24" s="121" t="s">
        <v>101</v>
      </c>
      <c r="E24" s="171" t="s">
        <v>102</v>
      </c>
      <c r="F24">
        <v>9</v>
      </c>
      <c r="G24" s="461" t="s">
        <v>103</v>
      </c>
      <c r="H24" s="462"/>
      <c r="I24" s="463"/>
      <c r="J24" s="461" t="s">
        <v>104</v>
      </c>
      <c r="K24" s="463"/>
      <c r="M24">
        <v>9</v>
      </c>
      <c r="N24" s="437">
        <v>141</v>
      </c>
      <c r="O24" s="438"/>
      <c r="P24" s="184" t="str">
        <f t="shared" si="11"/>
        <v>③</v>
      </c>
      <c r="Q24" s="430">
        <v>42497</v>
      </c>
      <c r="R24" s="431"/>
      <c r="S24" s="185" t="str">
        <f t="shared" si="5"/>
        <v>土</v>
      </c>
      <c r="T24" s="433" t="s">
        <v>96</v>
      </c>
      <c r="U24" s="434"/>
      <c r="V24" s="426">
        <v>0.4513888888888889</v>
      </c>
      <c r="W24" s="426"/>
      <c r="X24" s="420" t="str">
        <f t="shared" si="6"/>
        <v>ツエーゲン
金沢U-15
1st</v>
      </c>
      <c r="Y24" s="420"/>
      <c r="Z24" s="420"/>
      <c r="AA24" s="420" t="str">
        <f t="shared" si="7"/>
        <v>Riopedra
加賀FC</v>
      </c>
      <c r="AB24" s="420"/>
      <c r="AC24" s="420"/>
      <c r="AD24" s="410" t="s">
        <v>38</v>
      </c>
      <c r="AE24" s="411" t="s">
        <v>38</v>
      </c>
      <c r="AF24" s="517">
        <f t="shared" si="9"/>
        <v>4249707.452798889</v>
      </c>
      <c r="AG24" s="518"/>
      <c r="AH24" s="518"/>
      <c r="AI24" s="194">
        <f t="shared" si="8"/>
        <v>9</v>
      </c>
      <c r="AN24" s="154" t="s">
        <v>105</v>
      </c>
      <c r="AP24" s="176" t="str">
        <f t="shared" si="3"/>
        <v/>
      </c>
      <c r="AQ24" s="384" t="str">
        <f t="shared" si="4"/>
        <v/>
      </c>
      <c r="AR24" s="176" t="str">
        <f t="shared" si="0"/>
        <v/>
      </c>
      <c r="AS24" s="384" t="str">
        <f t="shared" si="1"/>
        <v/>
      </c>
      <c r="AT24" s="176">
        <f>IF(N$1&gt;7,AV24,"")</f>
        <v>481</v>
      </c>
      <c r="AU24" s="384">
        <f>IF(N$1&gt;7,AW24,"")</f>
        <v>482</v>
      </c>
      <c r="AV24" s="176">
        <f>IF($N$1=7,"",481)</f>
        <v>481</v>
      </c>
      <c r="AW24" s="384">
        <f>IF($N$1=7,"",482)</f>
        <v>482</v>
      </c>
      <c r="AX24">
        <v>22</v>
      </c>
    </row>
    <row r="25" spans="2:50" x14ac:dyDescent="0.25">
      <c r="B25" s="123">
        <v>42519</v>
      </c>
      <c r="C25" s="91" t="str">
        <f t="shared" si="10"/>
        <v>日</v>
      </c>
      <c r="D25" s="204" t="s">
        <v>101</v>
      </c>
      <c r="E25" s="205" t="s">
        <v>102</v>
      </c>
      <c r="F25">
        <v>10</v>
      </c>
      <c r="G25" s="461" t="s">
        <v>106</v>
      </c>
      <c r="H25" s="462"/>
      <c r="I25" s="463"/>
      <c r="J25" s="461" t="s">
        <v>107</v>
      </c>
      <c r="K25" s="463"/>
      <c r="M25">
        <v>10</v>
      </c>
      <c r="N25" s="437">
        <v>781</v>
      </c>
      <c r="O25" s="438"/>
      <c r="P25" s="184" t="str">
        <f t="shared" si="11"/>
        <v>③</v>
      </c>
      <c r="Q25" s="430">
        <v>42498</v>
      </c>
      <c r="R25" s="431"/>
      <c r="S25" s="185" t="str">
        <f t="shared" si="5"/>
        <v>日</v>
      </c>
      <c r="T25" s="433" t="s">
        <v>96</v>
      </c>
      <c r="U25" s="434"/>
      <c r="V25" s="426">
        <v>0.375</v>
      </c>
      <c r="W25" s="426"/>
      <c r="X25" s="420" t="str">
        <f t="shared" si="6"/>
        <v>ヘミニス
金沢FC
1st</v>
      </c>
      <c r="Y25" s="420"/>
      <c r="Z25" s="420"/>
      <c r="AA25" s="420" t="str">
        <f t="shared" si="7"/>
        <v>テイヘンズ
FC　1st</v>
      </c>
      <c r="AB25" s="420"/>
      <c r="AC25" s="420"/>
      <c r="AD25" s="410" t="s">
        <v>72</v>
      </c>
      <c r="AE25" s="411" t="s">
        <v>67</v>
      </c>
      <c r="AF25" s="517">
        <f t="shared" si="9"/>
        <v>4249807.3828100003</v>
      </c>
      <c r="AG25" s="518"/>
      <c r="AH25" s="518"/>
      <c r="AI25" s="194">
        <f t="shared" si="8"/>
        <v>10</v>
      </c>
      <c r="AN25" s="154" t="s">
        <v>108</v>
      </c>
      <c r="AP25" s="176" t="str">
        <f t="shared" si="3"/>
        <v/>
      </c>
      <c r="AQ25" s="384" t="str">
        <f t="shared" si="4"/>
        <v/>
      </c>
      <c r="AR25" s="176" t="str">
        <f t="shared" si="0"/>
        <v/>
      </c>
      <c r="AS25" s="384" t="str">
        <f t="shared" si="1"/>
        <v/>
      </c>
      <c r="AT25" s="176">
        <f>IF(N$1&gt;5,AV25,"")</f>
        <v>561</v>
      </c>
      <c r="AU25" s="384">
        <f>IF(N$1&gt;5,AW25,"")</f>
        <v>562</v>
      </c>
      <c r="AV25" s="176">
        <v>561</v>
      </c>
      <c r="AW25" s="384">
        <v>562</v>
      </c>
      <c r="AX25">
        <v>23</v>
      </c>
    </row>
    <row r="26" spans="2:50" x14ac:dyDescent="0.25">
      <c r="B26" s="123">
        <v>42525</v>
      </c>
      <c r="C26" s="91" t="str">
        <f t="shared" si="10"/>
        <v>土</v>
      </c>
      <c r="D26" s="204" t="s">
        <v>101</v>
      </c>
      <c r="E26" s="205" t="s">
        <v>102</v>
      </c>
      <c r="F26">
        <v>11</v>
      </c>
      <c r="G26" s="461" t="s">
        <v>109</v>
      </c>
      <c r="H26" s="462"/>
      <c r="I26" s="463"/>
      <c r="J26" s="461" t="s">
        <v>109</v>
      </c>
      <c r="K26" s="463"/>
      <c r="M26">
        <v>11</v>
      </c>
      <c r="N26" s="437">
        <v>351</v>
      </c>
      <c r="O26" s="438"/>
      <c r="P26" s="184" t="str">
        <f t="shared" si="11"/>
        <v>③</v>
      </c>
      <c r="Q26" s="430">
        <v>42498</v>
      </c>
      <c r="R26" s="431"/>
      <c r="S26" s="185" t="str">
        <f t="shared" si="5"/>
        <v>日</v>
      </c>
      <c r="T26" s="433" t="s">
        <v>96</v>
      </c>
      <c r="U26" s="434"/>
      <c r="V26" s="426">
        <v>0.4513888888888889</v>
      </c>
      <c r="W26" s="426"/>
      <c r="X26" s="420" t="str">
        <f t="shared" si="6"/>
        <v>星稜中学校</v>
      </c>
      <c r="Y26" s="420"/>
      <c r="Z26" s="420"/>
      <c r="AA26" s="420" t="str">
        <f t="shared" si="7"/>
        <v>FC小松
1st</v>
      </c>
      <c r="AB26" s="420"/>
      <c r="AC26" s="420"/>
      <c r="AD26" s="410" t="s">
        <v>83</v>
      </c>
      <c r="AE26" s="411" t="s">
        <v>80</v>
      </c>
      <c r="AF26" s="517">
        <f t="shared" si="9"/>
        <v>4249807.4548988892</v>
      </c>
      <c r="AG26" s="518"/>
      <c r="AH26" s="518"/>
      <c r="AI26" s="194">
        <f t="shared" si="8"/>
        <v>11</v>
      </c>
      <c r="AN26" s="154" t="s">
        <v>110</v>
      </c>
      <c r="AP26" s="176" t="str">
        <f t="shared" si="3"/>
        <v/>
      </c>
      <c r="AQ26" s="384" t="str">
        <f t="shared" si="4"/>
        <v/>
      </c>
      <c r="AR26" s="176" t="str">
        <f t="shared" si="0"/>
        <v/>
      </c>
      <c r="AS26" s="384" t="str">
        <f t="shared" si="1"/>
        <v/>
      </c>
      <c r="AT26" s="176">
        <f>IF(N$1&gt;6,AV26,"")</f>
        <v>571</v>
      </c>
      <c r="AU26" s="384">
        <f>IF(N$1&gt;6,AW26,"")</f>
        <v>572</v>
      </c>
      <c r="AV26" s="176">
        <v>571</v>
      </c>
      <c r="AW26" s="384">
        <v>572</v>
      </c>
      <c r="AX26">
        <v>24</v>
      </c>
    </row>
    <row r="27" spans="2:50" x14ac:dyDescent="0.25">
      <c r="B27" s="123">
        <v>42526</v>
      </c>
      <c r="C27" s="91" t="str">
        <f t="shared" si="10"/>
        <v>日</v>
      </c>
      <c r="D27" s="204" t="s">
        <v>101</v>
      </c>
      <c r="E27" s="205" t="s">
        <v>102</v>
      </c>
      <c r="F27">
        <v>12</v>
      </c>
      <c r="G27" s="461" t="s">
        <v>111</v>
      </c>
      <c r="H27" s="462"/>
      <c r="I27" s="463"/>
      <c r="J27" s="461" t="s">
        <v>112</v>
      </c>
      <c r="K27" s="463"/>
      <c r="M27">
        <v>12</v>
      </c>
      <c r="N27" s="437">
        <v>261</v>
      </c>
      <c r="O27" s="438"/>
      <c r="P27" s="184" t="str">
        <f t="shared" ref="P27:P71" si="12">IF(N27="","",INDEX($B$16:$F$68,MATCH(Q27,$B$16:$B$68,1),4))</f>
        <v>③</v>
      </c>
      <c r="Q27" s="430">
        <v>42498</v>
      </c>
      <c r="R27" s="431"/>
      <c r="S27" s="185" t="str">
        <f t="shared" si="5"/>
        <v>日</v>
      </c>
      <c r="T27" s="433" t="s">
        <v>113</v>
      </c>
      <c r="U27" s="434"/>
      <c r="V27" s="426">
        <v>0.39583333333333331</v>
      </c>
      <c r="W27" s="426"/>
      <c r="X27" s="420" t="str">
        <f t="shared" si="6"/>
        <v>セブン能登
1st</v>
      </c>
      <c r="Y27" s="420"/>
      <c r="Z27" s="420"/>
      <c r="AA27" s="420" t="str">
        <f t="shared" si="7"/>
        <v>FC.
SOUTHERN
1st</v>
      </c>
      <c r="AB27" s="420"/>
      <c r="AC27" s="420"/>
      <c r="AD27" s="410" t="s">
        <v>38</v>
      </c>
      <c r="AE27" s="411" t="s">
        <v>38</v>
      </c>
      <c r="AF27" s="517">
        <f t="shared" si="9"/>
        <v>4249818.3984433329</v>
      </c>
      <c r="AG27" s="518"/>
      <c r="AH27" s="518"/>
      <c r="AI27" s="194">
        <f t="shared" si="8"/>
        <v>12</v>
      </c>
      <c r="AN27" s="154" t="s">
        <v>114</v>
      </c>
      <c r="AP27" s="176" t="str">
        <f t="shared" si="3"/>
        <v/>
      </c>
      <c r="AQ27" s="384" t="str">
        <f t="shared" si="4"/>
        <v/>
      </c>
      <c r="AR27" s="176" t="str">
        <f t="shared" si="0"/>
        <v/>
      </c>
      <c r="AS27" s="384" t="str">
        <f t="shared" si="1"/>
        <v/>
      </c>
      <c r="AT27" s="176">
        <f>IF(N$1&gt;7,AV27,"")</f>
        <v>581</v>
      </c>
      <c r="AU27" s="384">
        <f>IF(N$1&gt;7,AW27,"")</f>
        <v>582</v>
      </c>
      <c r="AV27" s="176">
        <f>IF($N$1=7,"",581)</f>
        <v>581</v>
      </c>
      <c r="AW27" s="384">
        <f>IF($N$1=7,"",582)</f>
        <v>582</v>
      </c>
      <c r="AX27">
        <v>25</v>
      </c>
    </row>
    <row r="28" spans="2:50" x14ac:dyDescent="0.25">
      <c r="B28" s="123">
        <v>42532</v>
      </c>
      <c r="C28" s="91" t="str">
        <f t="shared" si="10"/>
        <v>土</v>
      </c>
      <c r="D28" s="204" t="s">
        <v>101</v>
      </c>
      <c r="E28" s="205" t="s">
        <v>102</v>
      </c>
      <c r="F28">
        <v>13</v>
      </c>
      <c r="G28" s="461" t="s">
        <v>115</v>
      </c>
      <c r="H28" s="462"/>
      <c r="I28" s="463"/>
      <c r="J28" s="461" t="s">
        <v>116</v>
      </c>
      <c r="K28" s="463"/>
      <c r="M28">
        <v>13</v>
      </c>
      <c r="N28" s="437">
        <v>161</v>
      </c>
      <c r="O28" s="438"/>
      <c r="P28" s="184" t="str">
        <f t="shared" si="12"/>
        <v>④</v>
      </c>
      <c r="Q28" s="430">
        <v>42504</v>
      </c>
      <c r="R28" s="431"/>
      <c r="S28" s="185" t="str">
        <f t="shared" si="5"/>
        <v>土</v>
      </c>
      <c r="T28" s="433" t="s">
        <v>96</v>
      </c>
      <c r="U28" s="434"/>
      <c r="V28" s="426">
        <v>0.39583333333333331</v>
      </c>
      <c r="W28" s="426"/>
      <c r="X28" s="427" t="str">
        <f t="shared" si="6"/>
        <v>ツエーゲン
金沢U-15
1st</v>
      </c>
      <c r="Y28" s="428"/>
      <c r="Z28" s="429"/>
      <c r="AA28" s="420" t="str">
        <f t="shared" si="7"/>
        <v>FC.
SOUTHERN
1st</v>
      </c>
      <c r="AB28" s="420"/>
      <c r="AC28" s="420"/>
      <c r="AD28" s="410" t="s">
        <v>82</v>
      </c>
      <c r="AE28" s="411" t="s">
        <v>80</v>
      </c>
      <c r="AF28" s="517">
        <f t="shared" si="9"/>
        <v>4250407.3974433327</v>
      </c>
      <c r="AG28" s="518"/>
      <c r="AH28" s="518"/>
      <c r="AI28" s="194">
        <f t="shared" si="8"/>
        <v>13</v>
      </c>
      <c r="AN28" s="154" t="s">
        <v>117</v>
      </c>
      <c r="AP28" s="176" t="str">
        <f t="shared" si="3"/>
        <v/>
      </c>
      <c r="AQ28" s="384" t="str">
        <f t="shared" si="4"/>
        <v/>
      </c>
      <c r="AR28" s="176" t="str">
        <f t="shared" si="0"/>
        <v/>
      </c>
      <c r="AS28" s="384" t="str">
        <f t="shared" si="1"/>
        <v/>
      </c>
      <c r="AT28" s="176">
        <f>IF(N$1&gt;6,AV28,"")</f>
        <v>671</v>
      </c>
      <c r="AU28" s="384">
        <f>IF(N$1&gt;6,AW28,"")</f>
        <v>672</v>
      </c>
      <c r="AV28" s="176">
        <v>671</v>
      </c>
      <c r="AW28" s="384">
        <v>672</v>
      </c>
      <c r="AX28">
        <v>26</v>
      </c>
    </row>
    <row r="29" spans="2:50" x14ac:dyDescent="0.25">
      <c r="B29" s="94">
        <v>42533</v>
      </c>
      <c r="C29" s="90" t="str">
        <f t="shared" si="10"/>
        <v>日</v>
      </c>
      <c r="D29" s="122" t="s">
        <v>101</v>
      </c>
      <c r="E29" s="203" t="s">
        <v>102</v>
      </c>
      <c r="F29">
        <v>14</v>
      </c>
      <c r="G29" s="461" t="s">
        <v>118</v>
      </c>
      <c r="H29" s="462"/>
      <c r="I29" s="463"/>
      <c r="J29" s="461" t="s">
        <v>119</v>
      </c>
      <c r="K29" s="463"/>
      <c r="M29">
        <v>14</v>
      </c>
      <c r="N29" s="437">
        <v>281</v>
      </c>
      <c r="O29" s="438"/>
      <c r="P29" s="184" t="str">
        <f t="shared" si="12"/>
        <v>④</v>
      </c>
      <c r="Q29" s="430">
        <v>42504</v>
      </c>
      <c r="R29" s="431"/>
      <c r="S29" s="185" t="str">
        <f t="shared" si="5"/>
        <v>土</v>
      </c>
      <c r="T29" s="433" t="s">
        <v>96</v>
      </c>
      <c r="U29" s="434"/>
      <c r="V29" s="426">
        <v>0.51388888888888895</v>
      </c>
      <c r="W29" s="426"/>
      <c r="X29" s="420" t="str">
        <f t="shared" si="6"/>
        <v>セブン能登
1st</v>
      </c>
      <c r="Y29" s="420"/>
      <c r="Z29" s="420"/>
      <c r="AA29" s="420" t="str">
        <f t="shared" si="7"/>
        <v>テイヘンズ
FC　1st</v>
      </c>
      <c r="AB29" s="420"/>
      <c r="AC29" s="420"/>
      <c r="AD29" s="410" t="s">
        <v>66</v>
      </c>
      <c r="AE29" s="411" t="s">
        <v>79</v>
      </c>
      <c r="AF29" s="517">
        <f t="shared" si="9"/>
        <v>4250407.5166988894</v>
      </c>
      <c r="AG29" s="518"/>
      <c r="AH29" s="518"/>
      <c r="AI29" s="194">
        <f t="shared" si="8"/>
        <v>14</v>
      </c>
      <c r="AN29" s="154" t="s">
        <v>120</v>
      </c>
      <c r="AP29" s="176" t="str">
        <f t="shared" si="3"/>
        <v/>
      </c>
      <c r="AQ29" s="384" t="str">
        <f t="shared" si="4"/>
        <v/>
      </c>
      <c r="AR29" s="176" t="str">
        <f t="shared" si="0"/>
        <v/>
      </c>
      <c r="AS29" s="384" t="str">
        <f t="shared" si="1"/>
        <v/>
      </c>
      <c r="AT29" s="176">
        <f>IF(N$1&gt;7,AV29,"")</f>
        <v>681</v>
      </c>
      <c r="AU29" s="384">
        <f>IF(N$1&gt;7,AW29,"")</f>
        <v>682</v>
      </c>
      <c r="AV29" s="176">
        <f>IF($N$1=7,"",681)</f>
        <v>681</v>
      </c>
      <c r="AW29" s="384">
        <f>IF($N$1=7,"",682)</f>
        <v>682</v>
      </c>
      <c r="AX29">
        <v>27</v>
      </c>
    </row>
    <row r="30" spans="2:50" x14ac:dyDescent="0.25">
      <c r="B30" s="93">
        <v>42546</v>
      </c>
      <c r="C30" s="89" t="str">
        <f t="shared" si="10"/>
        <v>土</v>
      </c>
      <c r="D30" s="121" t="s">
        <v>121</v>
      </c>
      <c r="E30" s="171" t="s">
        <v>122</v>
      </c>
      <c r="F30">
        <v>15</v>
      </c>
      <c r="G30" s="461" t="s">
        <v>123</v>
      </c>
      <c r="H30" s="462"/>
      <c r="I30" s="463"/>
      <c r="J30" s="461" t="s">
        <v>124</v>
      </c>
      <c r="K30" s="463"/>
      <c r="M30">
        <v>15</v>
      </c>
      <c r="N30" s="437">
        <v>471</v>
      </c>
      <c r="O30" s="438"/>
      <c r="P30" s="184" t="str">
        <f t="shared" si="12"/>
        <v>④</v>
      </c>
      <c r="Q30" s="430">
        <v>42505</v>
      </c>
      <c r="R30" s="431"/>
      <c r="S30" s="185" t="str">
        <f t="shared" si="5"/>
        <v>日</v>
      </c>
      <c r="T30" s="433" t="s">
        <v>125</v>
      </c>
      <c r="U30" s="434"/>
      <c r="V30" s="426">
        <v>0.63194444444444442</v>
      </c>
      <c r="W30" s="426"/>
      <c r="X30" s="420" t="str">
        <f t="shared" si="6"/>
        <v>Riopedra
加賀FC</v>
      </c>
      <c r="Y30" s="420"/>
      <c r="Z30" s="420"/>
      <c r="AA30" s="420" t="str">
        <f t="shared" si="7"/>
        <v>ヘミニス
金沢FC
1st</v>
      </c>
      <c r="AB30" s="420"/>
      <c r="AC30" s="420"/>
      <c r="AD30" s="410" t="s">
        <v>38</v>
      </c>
      <c r="AE30" s="411" t="s">
        <v>38</v>
      </c>
      <c r="AF30" s="517">
        <f t="shared" si="9"/>
        <v>4250529.636654444</v>
      </c>
      <c r="AG30" s="518"/>
      <c r="AH30" s="518"/>
      <c r="AI30" s="194">
        <f t="shared" si="8"/>
        <v>15</v>
      </c>
      <c r="AN30" s="154" t="s">
        <v>126</v>
      </c>
      <c r="AP30" s="177" t="str">
        <f t="shared" si="3"/>
        <v/>
      </c>
      <c r="AQ30" s="385" t="str">
        <f t="shared" si="4"/>
        <v/>
      </c>
      <c r="AR30" s="177" t="str">
        <f t="shared" si="0"/>
        <v/>
      </c>
      <c r="AS30" s="385" t="str">
        <f t="shared" si="1"/>
        <v/>
      </c>
      <c r="AT30" s="177">
        <f>IF(N$1&gt;7,AV30,"")</f>
        <v>781</v>
      </c>
      <c r="AU30" s="385">
        <f>IF(N$1&gt;7,AW30,"")</f>
        <v>782</v>
      </c>
      <c r="AV30" s="177">
        <f>IF($N$1=7,"",781)</f>
        <v>781</v>
      </c>
      <c r="AW30" s="385">
        <f>IF($N$1=7,"",782)</f>
        <v>782</v>
      </c>
      <c r="AX30">
        <v>28</v>
      </c>
    </row>
    <row r="31" spans="2:50" x14ac:dyDescent="0.25">
      <c r="B31" s="123">
        <v>42547</v>
      </c>
      <c r="C31" s="91" t="str">
        <f t="shared" si="10"/>
        <v>日</v>
      </c>
      <c r="D31" s="204" t="s">
        <v>121</v>
      </c>
      <c r="E31" s="205" t="s">
        <v>122</v>
      </c>
      <c r="F31">
        <v>16</v>
      </c>
      <c r="G31" s="461" t="s">
        <v>127</v>
      </c>
      <c r="H31" s="462"/>
      <c r="I31" s="463"/>
      <c r="J31" s="461" t="s">
        <v>128</v>
      </c>
      <c r="K31" s="463"/>
      <c r="M31">
        <v>16</v>
      </c>
      <c r="N31" s="437">
        <v>481</v>
      </c>
      <c r="O31" s="438"/>
      <c r="P31" s="184" t="str">
        <f t="shared" si="12"/>
        <v>⑤</v>
      </c>
      <c r="Q31" s="430">
        <v>42512</v>
      </c>
      <c r="R31" s="431"/>
      <c r="S31" s="185" t="str">
        <f t="shared" si="5"/>
        <v>日</v>
      </c>
      <c r="T31" s="433" t="s">
        <v>128</v>
      </c>
      <c r="U31" s="434"/>
      <c r="V31" s="426">
        <v>0.41666666666666669</v>
      </c>
      <c r="W31" s="426"/>
      <c r="X31" s="420" t="str">
        <f t="shared" si="6"/>
        <v>Riopedra
加賀FC</v>
      </c>
      <c r="Y31" s="420"/>
      <c r="Z31" s="420"/>
      <c r="AA31" s="420" t="str">
        <f t="shared" si="7"/>
        <v>テイヘンズ
FC　1st</v>
      </c>
      <c r="AB31" s="420"/>
      <c r="AC31" s="420"/>
      <c r="AD31" s="410" t="s">
        <v>83</v>
      </c>
      <c r="AE31" s="411" t="s">
        <v>67</v>
      </c>
      <c r="AF31" s="517">
        <f t="shared" si="9"/>
        <v>4251216.4214766668</v>
      </c>
      <c r="AG31" s="518"/>
      <c r="AH31" s="518"/>
      <c r="AI31" s="194">
        <f t="shared" si="8"/>
        <v>16</v>
      </c>
      <c r="AN31" s="154" t="s">
        <v>129</v>
      </c>
      <c r="AS31">
        <f>IF(COUNTIF($N$16:$N$71,AW31)&gt;0,"",AW31)</f>
        <v>0</v>
      </c>
    </row>
    <row r="32" spans="2:50" x14ac:dyDescent="0.25">
      <c r="B32" s="123">
        <v>42553</v>
      </c>
      <c r="C32" s="91" t="str">
        <f t="shared" si="10"/>
        <v>土</v>
      </c>
      <c r="D32" s="204" t="s">
        <v>121</v>
      </c>
      <c r="E32" s="205" t="s">
        <v>122</v>
      </c>
      <c r="F32">
        <v>17</v>
      </c>
      <c r="G32" s="461" t="s">
        <v>130</v>
      </c>
      <c r="H32" s="462"/>
      <c r="I32" s="463"/>
      <c r="J32" s="461" t="s">
        <v>131</v>
      </c>
      <c r="K32" s="463"/>
      <c r="L32" s="464" t="s">
        <v>132</v>
      </c>
      <c r="M32">
        <v>17</v>
      </c>
      <c r="N32" s="437">
        <v>571</v>
      </c>
      <c r="O32" s="438"/>
      <c r="P32" s="184" t="str">
        <f t="shared" si="12"/>
        <v>⑤</v>
      </c>
      <c r="Q32" s="430">
        <v>42512</v>
      </c>
      <c r="R32" s="431"/>
      <c r="S32" s="185" t="str">
        <f t="shared" si="5"/>
        <v>日</v>
      </c>
      <c r="T32" s="433" t="s">
        <v>128</v>
      </c>
      <c r="U32" s="434"/>
      <c r="V32" s="426">
        <v>0.49305555555555558</v>
      </c>
      <c r="W32" s="426"/>
      <c r="X32" s="420" t="str">
        <f t="shared" si="6"/>
        <v>FC小松
1st</v>
      </c>
      <c r="Y32" s="420"/>
      <c r="Z32" s="420"/>
      <c r="AA32" s="420" t="str">
        <f t="shared" si="7"/>
        <v>ヘミニス
金沢FC
1st</v>
      </c>
      <c r="AB32" s="420"/>
      <c r="AC32" s="420"/>
      <c r="AD32" s="410" t="s">
        <v>80</v>
      </c>
      <c r="AE32" s="411" t="s">
        <v>73</v>
      </c>
      <c r="AF32" s="517">
        <f t="shared" si="9"/>
        <v>4251216.4987655561</v>
      </c>
      <c r="AG32" s="518"/>
      <c r="AH32" s="518"/>
      <c r="AI32" s="194">
        <f t="shared" si="8"/>
        <v>17</v>
      </c>
      <c r="AN32" s="154" t="s">
        <v>133</v>
      </c>
    </row>
    <row r="33" spans="2:41" ht="13.15" thickBot="1" x14ac:dyDescent="0.3">
      <c r="B33" s="123">
        <v>42554</v>
      </c>
      <c r="C33" s="91" t="str">
        <f t="shared" si="10"/>
        <v>日</v>
      </c>
      <c r="D33" s="204" t="s">
        <v>121</v>
      </c>
      <c r="E33" s="205" t="s">
        <v>122</v>
      </c>
      <c r="F33">
        <v>18</v>
      </c>
      <c r="G33" s="461" t="s">
        <v>134</v>
      </c>
      <c r="H33" s="462"/>
      <c r="I33" s="463"/>
      <c r="J33" s="461" t="s">
        <v>113</v>
      </c>
      <c r="K33" s="463"/>
      <c r="L33" s="464"/>
      <c r="M33">
        <v>18</v>
      </c>
      <c r="N33" s="437">
        <v>171</v>
      </c>
      <c r="O33" s="438"/>
      <c r="P33" s="184" t="str">
        <f t="shared" si="12"/>
        <v>⑥</v>
      </c>
      <c r="Q33" s="430">
        <v>42518</v>
      </c>
      <c r="R33" s="431"/>
      <c r="S33" s="185" t="str">
        <f t="shared" si="5"/>
        <v>土</v>
      </c>
      <c r="T33" s="433" t="s">
        <v>88</v>
      </c>
      <c r="U33" s="434"/>
      <c r="V33" s="426">
        <v>0.41666666666666669</v>
      </c>
      <c r="W33" s="426"/>
      <c r="X33" s="427" t="str">
        <f t="shared" si="6"/>
        <v>ツエーゲン
金沢U-15
1st</v>
      </c>
      <c r="Y33" s="428"/>
      <c r="Z33" s="429"/>
      <c r="AA33" s="420" t="str">
        <f t="shared" si="7"/>
        <v>ヘミニス
金沢FC
1st</v>
      </c>
      <c r="AB33" s="420"/>
      <c r="AC33" s="420"/>
      <c r="AD33" s="410" t="s">
        <v>67</v>
      </c>
      <c r="AE33" s="411" t="s">
        <v>82</v>
      </c>
      <c r="AF33" s="517">
        <f t="shared" si="9"/>
        <v>4251805.4183766674</v>
      </c>
      <c r="AG33" s="518"/>
      <c r="AH33" s="518"/>
      <c r="AI33" s="194">
        <f t="shared" si="8"/>
        <v>18</v>
      </c>
      <c r="AN33" s="154" t="s">
        <v>135</v>
      </c>
    </row>
    <row r="34" spans="2:41" ht="13.15" thickTop="1" x14ac:dyDescent="0.25">
      <c r="B34" s="123">
        <v>42560</v>
      </c>
      <c r="C34" s="91" t="str">
        <f t="shared" si="10"/>
        <v>土</v>
      </c>
      <c r="D34" s="204" t="s">
        <v>121</v>
      </c>
      <c r="E34" s="172" t="str">
        <f>IF(E33="","",E33)</f>
        <v>⑦</v>
      </c>
      <c r="F34">
        <v>19</v>
      </c>
      <c r="G34" s="461" t="s">
        <v>136</v>
      </c>
      <c r="H34" s="462"/>
      <c r="I34" s="463"/>
      <c r="J34" s="461" t="s">
        <v>137</v>
      </c>
      <c r="K34" s="463"/>
      <c r="L34" s="464"/>
      <c r="M34">
        <v>19</v>
      </c>
      <c r="N34" s="437">
        <v>251</v>
      </c>
      <c r="O34" s="438"/>
      <c r="P34" s="184" t="str">
        <f t="shared" si="12"/>
        <v>⑥</v>
      </c>
      <c r="Q34" s="430">
        <v>42518</v>
      </c>
      <c r="R34" s="431"/>
      <c r="S34" s="185" t="str">
        <f t="shared" si="5"/>
        <v>土</v>
      </c>
      <c r="T34" s="433" t="s">
        <v>88</v>
      </c>
      <c r="U34" s="434"/>
      <c r="V34" s="426">
        <v>0.49305555555555558</v>
      </c>
      <c r="W34" s="426"/>
      <c r="X34" s="420" t="str">
        <f t="shared" si="6"/>
        <v>セブン能登
1st</v>
      </c>
      <c r="Y34" s="420"/>
      <c r="Z34" s="420"/>
      <c r="AA34" s="420" t="str">
        <f t="shared" si="7"/>
        <v>FC小松
1st</v>
      </c>
      <c r="AB34" s="420"/>
      <c r="AC34" s="420"/>
      <c r="AD34" s="410" t="s">
        <v>79</v>
      </c>
      <c r="AE34" s="411" t="s">
        <v>83</v>
      </c>
      <c r="AF34" s="517">
        <f t="shared" si="9"/>
        <v>4251805.495565556</v>
      </c>
      <c r="AG34" s="518"/>
      <c r="AH34" s="518"/>
      <c r="AI34" s="194">
        <f t="shared" si="8"/>
        <v>19</v>
      </c>
      <c r="AN34" s="352" t="s">
        <v>138</v>
      </c>
      <c r="AO34" s="349" t="s">
        <v>139</v>
      </c>
    </row>
    <row r="35" spans="2:41" ht="13.15" thickBot="1" x14ac:dyDescent="0.3">
      <c r="B35" s="123">
        <v>42561</v>
      </c>
      <c r="C35" s="91" t="str">
        <f t="shared" si="10"/>
        <v>日</v>
      </c>
      <c r="D35" s="204" t="s">
        <v>121</v>
      </c>
      <c r="E35" s="172" t="str">
        <f>IF(E34="","",E34)</f>
        <v>⑦</v>
      </c>
      <c r="F35">
        <v>20</v>
      </c>
      <c r="G35" s="461" t="s">
        <v>140</v>
      </c>
      <c r="H35" s="462"/>
      <c r="I35" s="463"/>
      <c r="J35" s="461" t="s">
        <v>141</v>
      </c>
      <c r="K35" s="463"/>
      <c r="L35" s="464"/>
      <c r="M35">
        <v>20</v>
      </c>
      <c r="N35" s="437">
        <v>361</v>
      </c>
      <c r="O35" s="438"/>
      <c r="P35" s="184" t="str">
        <f t="shared" si="12"/>
        <v>⑥</v>
      </c>
      <c r="Q35" s="430">
        <v>42519</v>
      </c>
      <c r="R35" s="431"/>
      <c r="S35" s="185" t="str">
        <f t="shared" si="5"/>
        <v>日</v>
      </c>
      <c r="T35" s="435" t="s">
        <v>65</v>
      </c>
      <c r="U35" s="436"/>
      <c r="V35" s="426">
        <v>0.55555555555555558</v>
      </c>
      <c r="W35" s="426"/>
      <c r="X35" s="420" t="str">
        <f t="shared" si="6"/>
        <v>星稜中学校</v>
      </c>
      <c r="Y35" s="420"/>
      <c r="Z35" s="420"/>
      <c r="AA35" s="420" t="str">
        <f t="shared" si="7"/>
        <v>FC.
SOUTHERN
1st</v>
      </c>
      <c r="AB35" s="420"/>
      <c r="AC35" s="420"/>
      <c r="AD35" s="410" t="s">
        <v>38</v>
      </c>
      <c r="AE35" s="411" t="s">
        <v>38</v>
      </c>
      <c r="AF35" s="517">
        <f t="shared" si="9"/>
        <v>4251902.559165556</v>
      </c>
      <c r="AG35" s="518"/>
      <c r="AH35" s="518"/>
      <c r="AI35" s="194">
        <f t="shared" si="8"/>
        <v>20</v>
      </c>
      <c r="AN35" s="352"/>
      <c r="AO35" s="350" t="s">
        <v>142</v>
      </c>
    </row>
    <row r="36" spans="2:41" ht="13.15" thickBot="1" x14ac:dyDescent="0.3">
      <c r="B36" s="328">
        <v>42574</v>
      </c>
      <c r="C36" s="329" t="str">
        <f t="shared" si="10"/>
        <v>土</v>
      </c>
      <c r="D36" s="330" t="s">
        <v>143</v>
      </c>
      <c r="E36" s="331" t="s">
        <v>144</v>
      </c>
      <c r="F36">
        <v>21</v>
      </c>
      <c r="G36" s="461" t="s">
        <v>145</v>
      </c>
      <c r="H36" s="462"/>
      <c r="I36" s="463"/>
      <c r="J36" s="461" t="s">
        <v>145</v>
      </c>
      <c r="K36" s="463"/>
      <c r="L36" s="469"/>
      <c r="M36" s="191">
        <v>21</v>
      </c>
      <c r="N36" s="437">
        <v>131</v>
      </c>
      <c r="O36" s="438"/>
      <c r="P36" s="184" t="str">
        <f t="shared" si="12"/>
        <v>⑥</v>
      </c>
      <c r="Q36" s="430">
        <v>42526</v>
      </c>
      <c r="R36" s="431"/>
      <c r="S36" s="185" t="str">
        <f t="shared" si="5"/>
        <v>日</v>
      </c>
      <c r="T36" s="435" t="s">
        <v>65</v>
      </c>
      <c r="U36" s="436"/>
      <c r="V36" s="426">
        <v>0.375</v>
      </c>
      <c r="W36" s="426"/>
      <c r="X36" s="427" t="str">
        <f t="shared" si="6"/>
        <v>ツエーゲン
金沢U-15
1st</v>
      </c>
      <c r="Y36" s="428"/>
      <c r="Z36" s="429"/>
      <c r="AA36" s="420" t="str">
        <f t="shared" si="7"/>
        <v>星稜中学校</v>
      </c>
      <c r="AB36" s="420"/>
      <c r="AC36" s="420"/>
      <c r="AD36" s="410" t="s">
        <v>38</v>
      </c>
      <c r="AE36" s="411" t="s">
        <v>38</v>
      </c>
      <c r="AF36" s="517">
        <f t="shared" si="9"/>
        <v>4252602.3763100002</v>
      </c>
      <c r="AG36" s="518"/>
      <c r="AH36" s="518"/>
      <c r="AI36" s="194">
        <f t="shared" si="8"/>
        <v>21</v>
      </c>
      <c r="AN36" s="352"/>
      <c r="AO36" s="350" t="s">
        <v>146</v>
      </c>
    </row>
    <row r="37" spans="2:41" ht="13.15" thickBot="1" x14ac:dyDescent="0.3">
      <c r="B37" s="198">
        <v>42575</v>
      </c>
      <c r="C37" s="199" t="str">
        <f t="shared" si="10"/>
        <v>日</v>
      </c>
      <c r="D37" s="332" t="s">
        <v>143</v>
      </c>
      <c r="E37" s="333" t="s">
        <v>144</v>
      </c>
      <c r="F37">
        <v>22</v>
      </c>
      <c r="G37" s="461" t="s">
        <v>147</v>
      </c>
      <c r="H37" s="462"/>
      <c r="I37" s="463"/>
      <c r="J37" s="461" t="s">
        <v>148</v>
      </c>
      <c r="K37" s="463"/>
      <c r="M37">
        <v>22</v>
      </c>
      <c r="N37" s="437">
        <v>451</v>
      </c>
      <c r="O37" s="438"/>
      <c r="P37" s="184" t="str">
        <f t="shared" si="12"/>
        <v>⑦</v>
      </c>
      <c r="Q37" s="430">
        <v>42546</v>
      </c>
      <c r="R37" s="431"/>
      <c r="S37" s="185" t="str">
        <f t="shared" si="5"/>
        <v>土</v>
      </c>
      <c r="T37" s="433" t="s">
        <v>128</v>
      </c>
      <c r="U37" s="434"/>
      <c r="V37" s="426">
        <v>0.41666666666666669</v>
      </c>
      <c r="W37" s="426"/>
      <c r="X37" s="420" t="str">
        <f t="shared" si="6"/>
        <v>Riopedra
加賀FC</v>
      </c>
      <c r="Y37" s="420"/>
      <c r="Z37" s="420"/>
      <c r="AA37" s="420" t="str">
        <f t="shared" si="7"/>
        <v>FC小松
1st</v>
      </c>
      <c r="AB37" s="420"/>
      <c r="AC37" s="420"/>
      <c r="AD37" s="410" t="s">
        <v>38</v>
      </c>
      <c r="AE37" s="411" t="s">
        <v>38</v>
      </c>
      <c r="AF37" s="517">
        <f t="shared" si="9"/>
        <v>4254616.4211766673</v>
      </c>
      <c r="AG37" s="518"/>
      <c r="AH37" s="518"/>
      <c r="AI37" s="194">
        <f t="shared" si="8"/>
        <v>22</v>
      </c>
      <c r="AN37" s="352" t="s">
        <v>149</v>
      </c>
      <c r="AO37" s="351" t="s">
        <v>4</v>
      </c>
    </row>
    <row r="38" spans="2:41" ht="13.15" thickTop="1" x14ac:dyDescent="0.25">
      <c r="B38" s="93">
        <v>42581</v>
      </c>
      <c r="C38" s="89" t="str">
        <f t="shared" si="10"/>
        <v>土</v>
      </c>
      <c r="D38" s="121" t="s">
        <v>150</v>
      </c>
      <c r="E38" s="334" t="s">
        <v>151</v>
      </c>
      <c r="F38">
        <v>23</v>
      </c>
      <c r="G38" s="461" t="s">
        <v>152</v>
      </c>
      <c r="H38" s="462"/>
      <c r="I38" s="463"/>
      <c r="J38" s="461" t="s">
        <v>78</v>
      </c>
      <c r="K38" s="463"/>
      <c r="M38">
        <v>23</v>
      </c>
      <c r="N38" s="437">
        <v>231</v>
      </c>
      <c r="O38" s="438"/>
      <c r="P38" s="184" t="str">
        <f t="shared" si="12"/>
        <v>⑦</v>
      </c>
      <c r="Q38" s="430">
        <v>42546</v>
      </c>
      <c r="R38" s="431"/>
      <c r="S38" s="185" t="str">
        <f t="shared" si="5"/>
        <v>土</v>
      </c>
      <c r="T38" s="433" t="s">
        <v>78</v>
      </c>
      <c r="U38" s="434"/>
      <c r="V38" s="426">
        <v>0.39583333333333331</v>
      </c>
      <c r="W38" s="426"/>
      <c r="X38" s="420" t="str">
        <f t="shared" si="6"/>
        <v>セブン能登
1st</v>
      </c>
      <c r="Y38" s="420"/>
      <c r="Z38" s="420"/>
      <c r="AA38" s="420" t="str">
        <f t="shared" si="7"/>
        <v>星稜中学校</v>
      </c>
      <c r="AB38" s="420"/>
      <c r="AC38" s="420"/>
      <c r="AD38" s="410" t="s">
        <v>83</v>
      </c>
      <c r="AE38" s="411" t="s">
        <v>66</v>
      </c>
      <c r="AF38" s="517">
        <f t="shared" si="9"/>
        <v>4254623.3981433334</v>
      </c>
      <c r="AG38" s="518"/>
      <c r="AH38" s="518"/>
      <c r="AI38" s="194">
        <f t="shared" si="8"/>
        <v>23</v>
      </c>
      <c r="AN38" s="353" t="s">
        <v>153</v>
      </c>
    </row>
    <row r="39" spans="2:41" x14ac:dyDescent="0.25">
      <c r="B39" s="123">
        <v>42582</v>
      </c>
      <c r="C39" s="91" t="str">
        <f t="shared" si="10"/>
        <v>日</v>
      </c>
      <c r="D39" s="204" t="s">
        <v>150</v>
      </c>
      <c r="E39" s="172" t="s">
        <v>151</v>
      </c>
      <c r="F39">
        <v>24</v>
      </c>
      <c r="G39" s="461" t="s">
        <v>154</v>
      </c>
      <c r="H39" s="462"/>
      <c r="I39" s="463"/>
      <c r="J39" s="461" t="s">
        <v>154</v>
      </c>
      <c r="K39" s="463"/>
      <c r="L39" s="464" t="s">
        <v>155</v>
      </c>
      <c r="M39">
        <v>24</v>
      </c>
      <c r="N39" s="437">
        <v>671</v>
      </c>
      <c r="O39" s="438"/>
      <c r="P39" s="184" t="str">
        <f t="shared" si="12"/>
        <v>⑦</v>
      </c>
      <c r="Q39" s="430">
        <v>42546</v>
      </c>
      <c r="R39" s="431"/>
      <c r="S39" s="185" t="str">
        <f t="shared" si="5"/>
        <v>土</v>
      </c>
      <c r="T39" s="433" t="s">
        <v>78</v>
      </c>
      <c r="U39" s="434"/>
      <c r="V39" s="426">
        <v>0.47222222222222227</v>
      </c>
      <c r="W39" s="426"/>
      <c r="X39" s="420" t="str">
        <f t="shared" si="6"/>
        <v>FC.
SOUTHERN
1st</v>
      </c>
      <c r="Y39" s="420"/>
      <c r="Z39" s="420"/>
      <c r="AA39" s="420" t="str">
        <f t="shared" si="7"/>
        <v>ヘミニス
金沢FC
1st</v>
      </c>
      <c r="AB39" s="420"/>
      <c r="AC39" s="420"/>
      <c r="AD39" s="410" t="s">
        <v>82</v>
      </c>
      <c r="AE39" s="411" t="s">
        <v>72</v>
      </c>
      <c r="AF39" s="517">
        <f t="shared" si="9"/>
        <v>4254623.4789322224</v>
      </c>
      <c r="AG39" s="518"/>
      <c r="AH39" s="518"/>
      <c r="AI39" s="194">
        <f t="shared" si="8"/>
        <v>24</v>
      </c>
      <c r="AN39" s="353" t="s">
        <v>156</v>
      </c>
    </row>
    <row r="40" spans="2:41" x14ac:dyDescent="0.25">
      <c r="B40" s="123">
        <v>42588</v>
      </c>
      <c r="C40" s="91" t="str">
        <f t="shared" si="10"/>
        <v>土</v>
      </c>
      <c r="D40" s="204" t="s">
        <v>150</v>
      </c>
      <c r="E40" s="205" t="s">
        <v>151</v>
      </c>
      <c r="F40">
        <v>25</v>
      </c>
      <c r="G40" s="461" t="s">
        <v>157</v>
      </c>
      <c r="H40" s="462"/>
      <c r="I40" s="463"/>
      <c r="J40" s="461" t="s">
        <v>158</v>
      </c>
      <c r="K40" s="463"/>
      <c r="L40" s="464"/>
      <c r="M40">
        <v>25</v>
      </c>
      <c r="N40" s="437">
        <v>121</v>
      </c>
      <c r="O40" s="438"/>
      <c r="P40" s="184" t="str">
        <f t="shared" si="12"/>
        <v>⑦</v>
      </c>
      <c r="Q40" s="430">
        <v>42553</v>
      </c>
      <c r="R40" s="431"/>
      <c r="S40" s="185" t="str">
        <f t="shared" si="5"/>
        <v>土</v>
      </c>
      <c r="T40" s="433" t="s">
        <v>88</v>
      </c>
      <c r="U40" s="434"/>
      <c r="V40" s="426">
        <v>0.40277777777777773</v>
      </c>
      <c r="W40" s="426"/>
      <c r="X40" s="427" t="str">
        <f t="shared" si="6"/>
        <v>ツエーゲン
金沢U-15
1st</v>
      </c>
      <c r="Y40" s="428"/>
      <c r="Z40" s="429"/>
      <c r="AA40" s="420" t="str">
        <f t="shared" si="7"/>
        <v>セブン能登
1st</v>
      </c>
      <c r="AB40" s="420"/>
      <c r="AC40" s="420"/>
      <c r="AD40" s="410" t="s">
        <v>67</v>
      </c>
      <c r="AE40" s="411" t="s">
        <v>80</v>
      </c>
      <c r="AF40" s="517">
        <f t="shared" si="9"/>
        <v>4255305.4039877784</v>
      </c>
      <c r="AG40" s="518"/>
      <c r="AH40" s="518"/>
      <c r="AI40" s="194">
        <f t="shared" si="8"/>
        <v>25</v>
      </c>
      <c r="AN40" s="353" t="s">
        <v>159</v>
      </c>
    </row>
    <row r="41" spans="2:41" x14ac:dyDescent="0.25">
      <c r="B41" s="94">
        <v>42589</v>
      </c>
      <c r="C41" s="90" t="str">
        <f t="shared" si="10"/>
        <v>日</v>
      </c>
      <c r="D41" s="122" t="s">
        <v>150</v>
      </c>
      <c r="E41" s="170" t="str">
        <f>IF(E40="","",E40)</f>
        <v>⑨</v>
      </c>
      <c r="F41">
        <v>26</v>
      </c>
      <c r="G41" s="461" t="s">
        <v>160</v>
      </c>
      <c r="H41" s="462"/>
      <c r="I41" s="463"/>
      <c r="J41" s="461" t="s">
        <v>160</v>
      </c>
      <c r="K41" s="463"/>
      <c r="L41" s="464"/>
      <c r="M41">
        <v>26</v>
      </c>
      <c r="N41" s="437">
        <v>581</v>
      </c>
      <c r="O41" s="438"/>
      <c r="P41" s="184" t="str">
        <f t="shared" si="12"/>
        <v>⑦</v>
      </c>
      <c r="Q41" s="430">
        <v>42553</v>
      </c>
      <c r="R41" s="431"/>
      <c r="S41" s="185" t="str">
        <f t="shared" si="5"/>
        <v>土</v>
      </c>
      <c r="T41" s="433" t="s">
        <v>88</v>
      </c>
      <c r="U41" s="434"/>
      <c r="V41" s="426">
        <v>0.47916666666666669</v>
      </c>
      <c r="W41" s="426"/>
      <c r="X41" s="420" t="str">
        <f t="shared" si="6"/>
        <v>FC小松
1st</v>
      </c>
      <c r="Y41" s="420"/>
      <c r="Z41" s="420"/>
      <c r="AA41" s="420" t="str">
        <f t="shared" si="7"/>
        <v>テイヘンズ
FC　1st</v>
      </c>
      <c r="AB41" s="420"/>
      <c r="AC41" s="420"/>
      <c r="AD41" s="410" t="s">
        <v>79</v>
      </c>
      <c r="AE41" s="411" t="s">
        <v>82</v>
      </c>
      <c r="AF41" s="517">
        <f t="shared" si="9"/>
        <v>4255305.484976667</v>
      </c>
      <c r="AG41" s="518"/>
      <c r="AH41" s="518"/>
      <c r="AI41" s="194">
        <f t="shared" si="8"/>
        <v>26</v>
      </c>
      <c r="AN41" s="353" t="s">
        <v>161</v>
      </c>
    </row>
    <row r="42" spans="2:41" x14ac:dyDescent="0.25">
      <c r="B42" s="377">
        <v>42616</v>
      </c>
      <c r="C42" s="89" t="str">
        <f t="shared" si="10"/>
        <v>土</v>
      </c>
      <c r="D42" s="337" t="s">
        <v>162</v>
      </c>
      <c r="E42" s="171" t="s">
        <v>163</v>
      </c>
      <c r="F42">
        <v>27</v>
      </c>
      <c r="G42" s="461" t="s">
        <v>164</v>
      </c>
      <c r="H42" s="462"/>
      <c r="I42" s="463"/>
      <c r="J42" s="461" t="s">
        <v>164</v>
      </c>
      <c r="K42" s="463"/>
      <c r="L42" s="464"/>
      <c r="M42">
        <v>27</v>
      </c>
      <c r="N42" s="437">
        <v>461</v>
      </c>
      <c r="O42" s="438"/>
      <c r="P42" s="184" t="str">
        <f t="shared" si="12"/>
        <v>⑦</v>
      </c>
      <c r="Q42" s="430">
        <v>42554</v>
      </c>
      <c r="R42" s="431"/>
      <c r="S42" s="185" t="str">
        <f t="shared" si="5"/>
        <v>日</v>
      </c>
      <c r="T42" s="433" t="s">
        <v>128</v>
      </c>
      <c r="U42" s="434"/>
      <c r="V42" s="426">
        <v>0.41666666666666669</v>
      </c>
      <c r="W42" s="426"/>
      <c r="X42" s="420" t="str">
        <f t="shared" si="6"/>
        <v>Riopedra
加賀FC</v>
      </c>
      <c r="Y42" s="420"/>
      <c r="Z42" s="420"/>
      <c r="AA42" s="420" t="str">
        <f t="shared" si="7"/>
        <v>FC.
SOUTHERN
1st</v>
      </c>
      <c r="AB42" s="420"/>
      <c r="AC42" s="420"/>
      <c r="AD42" s="410" t="s">
        <v>38</v>
      </c>
      <c r="AE42" s="411" t="s">
        <v>38</v>
      </c>
      <c r="AF42" s="517">
        <f t="shared" si="9"/>
        <v>4255416.4212766672</v>
      </c>
      <c r="AG42" s="518"/>
      <c r="AH42" s="518"/>
      <c r="AI42" s="194">
        <f t="shared" si="8"/>
        <v>27</v>
      </c>
      <c r="AN42" s="353" t="s">
        <v>165</v>
      </c>
    </row>
    <row r="43" spans="2:41" ht="13.15" thickBot="1" x14ac:dyDescent="0.3">
      <c r="B43" s="208">
        <v>42617</v>
      </c>
      <c r="C43" s="91" t="str">
        <f t="shared" si="10"/>
        <v>日</v>
      </c>
      <c r="D43" s="378" t="s">
        <v>162</v>
      </c>
      <c r="E43" s="205" t="s">
        <v>163</v>
      </c>
      <c r="F43">
        <v>28</v>
      </c>
      <c r="G43" s="461" t="s">
        <v>166</v>
      </c>
      <c r="H43" s="462"/>
      <c r="I43" s="463"/>
      <c r="J43" s="461" t="s">
        <v>167</v>
      </c>
      <c r="K43" s="463"/>
      <c r="L43" s="465"/>
      <c r="M43" s="186">
        <v>28</v>
      </c>
      <c r="N43" s="437">
        <v>381</v>
      </c>
      <c r="O43" s="438"/>
      <c r="P43" s="184" t="str">
        <f t="shared" si="12"/>
        <v>⑦</v>
      </c>
      <c r="Q43" s="430">
        <v>42560</v>
      </c>
      <c r="R43" s="431"/>
      <c r="S43" s="185" t="str">
        <f t="shared" si="5"/>
        <v>土</v>
      </c>
      <c r="T43" s="435" t="s">
        <v>65</v>
      </c>
      <c r="U43" s="436"/>
      <c r="V43" s="426">
        <v>0.375</v>
      </c>
      <c r="W43" s="426"/>
      <c r="X43" s="420" t="str">
        <f t="shared" si="6"/>
        <v>星稜中学校</v>
      </c>
      <c r="Y43" s="420"/>
      <c r="Z43" s="420"/>
      <c r="AA43" s="420" t="str">
        <f t="shared" si="7"/>
        <v>テイヘンズ
FC　1st</v>
      </c>
      <c r="AB43" s="420"/>
      <c r="AC43" s="420"/>
      <c r="AD43" s="410" t="s">
        <v>38</v>
      </c>
      <c r="AE43" s="411" t="s">
        <v>38</v>
      </c>
      <c r="AF43" s="517">
        <f t="shared" si="9"/>
        <v>4256002.3788099997</v>
      </c>
      <c r="AG43" s="518"/>
      <c r="AH43" s="518"/>
      <c r="AI43" s="194">
        <f t="shared" si="8"/>
        <v>28</v>
      </c>
      <c r="AN43" s="353" t="s">
        <v>168</v>
      </c>
    </row>
    <row r="44" spans="2:41" x14ac:dyDescent="0.25">
      <c r="B44" s="208">
        <v>42623</v>
      </c>
      <c r="C44" s="91" t="str">
        <f t="shared" si="10"/>
        <v>土</v>
      </c>
      <c r="D44" s="378" t="s">
        <v>162</v>
      </c>
      <c r="E44" s="205" t="s">
        <v>163</v>
      </c>
      <c r="F44">
        <v>29</v>
      </c>
      <c r="G44" s="461" t="s">
        <v>169</v>
      </c>
      <c r="H44" s="462"/>
      <c r="I44" s="463"/>
      <c r="J44" s="461" t="s">
        <v>125</v>
      </c>
      <c r="K44" s="463"/>
      <c r="M44">
        <v>29</v>
      </c>
      <c r="N44" s="437">
        <v>282</v>
      </c>
      <c r="O44" s="438"/>
      <c r="P44" s="184" t="str">
        <f t="shared" si="12"/>
        <v>⑧</v>
      </c>
      <c r="Q44" s="430">
        <v>42574</v>
      </c>
      <c r="R44" s="431"/>
      <c r="S44" s="185" t="str">
        <f t="shared" si="5"/>
        <v>土</v>
      </c>
      <c r="T44" s="435" t="s">
        <v>167</v>
      </c>
      <c r="U44" s="436"/>
      <c r="V44" s="426">
        <v>0.60416666666666663</v>
      </c>
      <c r="W44" s="426"/>
      <c r="X44" s="420" t="str">
        <f t="shared" si="6"/>
        <v>セブン能登
1st</v>
      </c>
      <c r="Y44" s="420"/>
      <c r="Z44" s="420"/>
      <c r="AA44" s="420" t="str">
        <f t="shared" si="7"/>
        <v>テイヘンズ
FC　1st</v>
      </c>
      <c r="AB44" s="420"/>
      <c r="AC44" s="420"/>
      <c r="AD44" s="393" t="s">
        <v>72</v>
      </c>
      <c r="AE44" s="394" t="s">
        <v>66</v>
      </c>
      <c r="AF44" s="517">
        <f t="shared" si="9"/>
        <v>4257428.606986667</v>
      </c>
      <c r="AG44" s="518"/>
      <c r="AH44" s="518"/>
      <c r="AI44" s="194">
        <f t="shared" si="8"/>
        <v>29</v>
      </c>
      <c r="AN44" s="353" t="s">
        <v>170</v>
      </c>
    </row>
    <row r="45" spans="2:41" x14ac:dyDescent="0.25">
      <c r="B45" s="209">
        <v>42624</v>
      </c>
      <c r="C45" s="90" t="str">
        <f t="shared" si="10"/>
        <v>日</v>
      </c>
      <c r="D45" s="168" t="s">
        <v>162</v>
      </c>
      <c r="E45" s="203" t="s">
        <v>163</v>
      </c>
      <c r="F45">
        <v>30</v>
      </c>
      <c r="G45" s="461" t="s">
        <v>171</v>
      </c>
      <c r="H45" s="462"/>
      <c r="I45" s="463"/>
      <c r="J45" s="461" t="s">
        <v>172</v>
      </c>
      <c r="K45" s="463"/>
      <c r="M45">
        <v>30</v>
      </c>
      <c r="N45" s="437">
        <v>172</v>
      </c>
      <c r="O45" s="438"/>
      <c r="P45" s="184" t="str">
        <f t="shared" si="12"/>
        <v>⑧</v>
      </c>
      <c r="Q45" s="430">
        <v>42574</v>
      </c>
      <c r="R45" s="431"/>
      <c r="S45" s="185" t="str">
        <f t="shared" si="5"/>
        <v>土</v>
      </c>
      <c r="T45" s="435" t="s">
        <v>167</v>
      </c>
      <c r="U45" s="436"/>
      <c r="V45" s="426">
        <v>0.68055555555555547</v>
      </c>
      <c r="W45" s="426"/>
      <c r="X45" s="427" t="str">
        <f t="shared" si="6"/>
        <v>ツエーゲン
金沢U-15
1st</v>
      </c>
      <c r="Y45" s="428"/>
      <c r="Z45" s="429"/>
      <c r="AA45" s="420" t="str">
        <f t="shared" si="7"/>
        <v>ヘミニス
金沢FC
1st</v>
      </c>
      <c r="AB45" s="420"/>
      <c r="AC45" s="420"/>
      <c r="AD45" s="393" t="s">
        <v>82</v>
      </c>
      <c r="AE45" s="394" t="s">
        <v>80</v>
      </c>
      <c r="AF45" s="517">
        <f t="shared" si="9"/>
        <v>4257428.682275556</v>
      </c>
      <c r="AG45" s="518"/>
      <c r="AH45" s="518"/>
      <c r="AI45" s="194">
        <f t="shared" si="8"/>
        <v>30</v>
      </c>
      <c r="AN45" s="354"/>
    </row>
    <row r="46" spans="2:41" x14ac:dyDescent="0.25">
      <c r="B46" s="93">
        <v>42644</v>
      </c>
      <c r="C46" s="89" t="str">
        <f t="shared" si="10"/>
        <v>土</v>
      </c>
      <c r="D46" s="337" t="s">
        <v>173</v>
      </c>
      <c r="E46" s="171" t="s">
        <v>174</v>
      </c>
      <c r="F46">
        <v>31</v>
      </c>
      <c r="G46" s="461" t="s">
        <v>175</v>
      </c>
      <c r="H46" s="462"/>
      <c r="I46" s="463"/>
      <c r="J46" s="461" t="s">
        <v>176</v>
      </c>
      <c r="K46" s="463"/>
      <c r="M46">
        <v>31</v>
      </c>
      <c r="N46" s="437">
        <v>362</v>
      </c>
      <c r="O46" s="438"/>
      <c r="P46" s="184" t="str">
        <f t="shared" si="12"/>
        <v>⑧</v>
      </c>
      <c r="Q46" s="430">
        <v>42574</v>
      </c>
      <c r="R46" s="431"/>
      <c r="S46" s="185" t="str">
        <f t="shared" si="5"/>
        <v>土</v>
      </c>
      <c r="T46" s="435" t="s">
        <v>167</v>
      </c>
      <c r="U46" s="436"/>
      <c r="V46" s="426">
        <v>0.75694444444444453</v>
      </c>
      <c r="W46" s="426"/>
      <c r="X46" s="420" t="str">
        <f t="shared" si="6"/>
        <v>星稜中学校</v>
      </c>
      <c r="Y46" s="420"/>
      <c r="Z46" s="420"/>
      <c r="AA46" s="420" t="str">
        <f t="shared" si="7"/>
        <v>FC.
SOUTHERN
1st</v>
      </c>
      <c r="AB46" s="420"/>
      <c r="AC46" s="420"/>
      <c r="AD46" s="393" t="s">
        <v>79</v>
      </c>
      <c r="AE46" s="394" t="s">
        <v>83</v>
      </c>
      <c r="AF46" s="517">
        <f t="shared" si="9"/>
        <v>4257428.7605644437</v>
      </c>
      <c r="AG46" s="518"/>
      <c r="AH46" s="518"/>
      <c r="AI46" s="194">
        <f t="shared" si="8"/>
        <v>31</v>
      </c>
    </row>
    <row r="47" spans="2:41" ht="13.15" thickBot="1" x14ac:dyDescent="0.3">
      <c r="B47" s="92">
        <v>42645</v>
      </c>
      <c r="C47" s="88" t="str">
        <f t="shared" si="10"/>
        <v>日</v>
      </c>
      <c r="D47" s="338" t="s">
        <v>173</v>
      </c>
      <c r="E47" s="324" t="s">
        <v>174</v>
      </c>
      <c r="F47">
        <v>32</v>
      </c>
      <c r="G47" s="466"/>
      <c r="H47" s="467"/>
      <c r="I47" s="468"/>
      <c r="J47" s="466"/>
      <c r="K47" s="468"/>
      <c r="M47">
        <v>32</v>
      </c>
      <c r="N47" s="437">
        <v>672</v>
      </c>
      <c r="O47" s="438"/>
      <c r="P47" s="184" t="str">
        <f t="shared" si="12"/>
        <v>⑨</v>
      </c>
      <c r="Q47" s="430">
        <v>42581</v>
      </c>
      <c r="R47" s="431"/>
      <c r="S47" s="185" t="str">
        <f t="shared" si="5"/>
        <v>土</v>
      </c>
      <c r="T47" s="433" t="s">
        <v>88</v>
      </c>
      <c r="U47" s="434"/>
      <c r="V47" s="426">
        <v>0.41666666666666669</v>
      </c>
      <c r="W47" s="426"/>
      <c r="X47" s="420" t="str">
        <f t="shared" si="6"/>
        <v>FC.
SOUTHERN
1st</v>
      </c>
      <c r="Y47" s="420"/>
      <c r="Z47" s="420"/>
      <c r="AA47" s="420" t="str">
        <f t="shared" si="7"/>
        <v>ヘミニス
金沢FC
1st</v>
      </c>
      <c r="AB47" s="420"/>
      <c r="AC47" s="420"/>
      <c r="AD47" s="393" t="s">
        <v>38</v>
      </c>
      <c r="AE47" s="394" t="s">
        <v>38</v>
      </c>
      <c r="AF47" s="517">
        <f t="shared" si="9"/>
        <v>4258105.4233866669</v>
      </c>
      <c r="AG47" s="518"/>
      <c r="AH47" s="518"/>
      <c r="AI47" s="194">
        <f t="shared" si="8"/>
        <v>32</v>
      </c>
    </row>
    <row r="48" spans="2:41" ht="13.15" thickTop="1" x14ac:dyDescent="0.25">
      <c r="B48" s="93">
        <v>42658</v>
      </c>
      <c r="C48" s="89" t="str">
        <f t="shared" si="10"/>
        <v>土</v>
      </c>
      <c r="D48" s="337" t="s">
        <v>177</v>
      </c>
      <c r="E48" s="334" t="s">
        <v>178</v>
      </c>
      <c r="G48" s="1"/>
      <c r="H48" s="1"/>
      <c r="I48" s="1"/>
      <c r="M48">
        <v>33</v>
      </c>
      <c r="N48" s="437">
        <v>152</v>
      </c>
      <c r="O48" s="438"/>
      <c r="P48" s="184" t="str">
        <f t="shared" si="12"/>
        <v>⑨</v>
      </c>
      <c r="Q48" s="430">
        <v>42581</v>
      </c>
      <c r="R48" s="431"/>
      <c r="S48" s="185" t="str">
        <f t="shared" ref="S48:S71" si="13">IF(N48="","",INDEX($B$16:$F$68,MATCH(Q48,$B$16:$B$68,1),2))</f>
        <v>土</v>
      </c>
      <c r="T48" s="433" t="s">
        <v>112</v>
      </c>
      <c r="U48" s="434"/>
      <c r="V48" s="426">
        <v>0.41666666666666669</v>
      </c>
      <c r="W48" s="426"/>
      <c r="X48" s="427" t="str">
        <f t="shared" ref="X48:X71" si="14">IF(N48="","",INDEX($AJ$4:$AK$11,MATCH(VALUE(LEFT(N48)),$AJ$4:$AJ$11,1),2))</f>
        <v>ツエーゲン
金沢U-15
1st</v>
      </c>
      <c r="Y48" s="428"/>
      <c r="Z48" s="429"/>
      <c r="AA48" s="420" t="str">
        <f t="shared" ref="AA48:AA71" si="15">IF(N48="","",INDEX($AJ$4:$AK$11,MATCH(VALUE(MID(N48,2,1)),$AJ$4:$AJ$11,1),2))</f>
        <v>FC小松
1st</v>
      </c>
      <c r="AB48" s="420"/>
      <c r="AC48" s="420"/>
      <c r="AD48" s="393" t="s">
        <v>73</v>
      </c>
      <c r="AE48" s="394" t="s">
        <v>82</v>
      </c>
      <c r="AF48" s="517">
        <f t="shared" si="9"/>
        <v>4258112.4181866674</v>
      </c>
      <c r="AG48" s="518"/>
      <c r="AH48" s="518"/>
      <c r="AI48" s="194">
        <f t="shared" si="8"/>
        <v>33</v>
      </c>
    </row>
    <row r="49" spans="2:35" x14ac:dyDescent="0.25">
      <c r="B49" s="123">
        <v>42659</v>
      </c>
      <c r="C49" s="91" t="str">
        <f t="shared" si="10"/>
        <v>日</v>
      </c>
      <c r="D49" s="378" t="s">
        <v>177</v>
      </c>
      <c r="E49" s="172" t="s">
        <v>178</v>
      </c>
      <c r="M49">
        <v>34</v>
      </c>
      <c r="N49" s="437">
        <v>242</v>
      </c>
      <c r="O49" s="438"/>
      <c r="P49" s="184" t="str">
        <f t="shared" si="12"/>
        <v>⑨</v>
      </c>
      <c r="Q49" s="430">
        <v>42581</v>
      </c>
      <c r="R49" s="431"/>
      <c r="S49" s="185" t="str">
        <f t="shared" si="13"/>
        <v>土</v>
      </c>
      <c r="T49" s="433" t="s">
        <v>112</v>
      </c>
      <c r="U49" s="434"/>
      <c r="V49" s="426">
        <v>0.49305555555555558</v>
      </c>
      <c r="W49" s="426"/>
      <c r="X49" s="420" t="str">
        <f t="shared" si="14"/>
        <v>セブン能登
1st</v>
      </c>
      <c r="Y49" s="420"/>
      <c r="Z49" s="420"/>
      <c r="AA49" s="420" t="str">
        <f t="shared" si="15"/>
        <v>Riopedra
加賀FC</v>
      </c>
      <c r="AB49" s="420"/>
      <c r="AC49" s="420"/>
      <c r="AD49" s="393" t="s">
        <v>67</v>
      </c>
      <c r="AE49" s="394" t="s">
        <v>79</v>
      </c>
      <c r="AF49" s="517">
        <f t="shared" si="9"/>
        <v>4258112.4954755558</v>
      </c>
      <c r="AG49" s="518"/>
      <c r="AH49" s="518"/>
      <c r="AI49" s="194">
        <f t="shared" si="8"/>
        <v>34</v>
      </c>
    </row>
    <row r="50" spans="2:35" x14ac:dyDescent="0.25">
      <c r="B50" s="123">
        <v>42665</v>
      </c>
      <c r="C50" s="91" t="str">
        <f t="shared" si="10"/>
        <v>土</v>
      </c>
      <c r="D50" s="378" t="s">
        <v>177</v>
      </c>
      <c r="E50" s="172" t="s">
        <v>178</v>
      </c>
      <c r="M50">
        <v>35</v>
      </c>
      <c r="N50" s="437">
        <v>562</v>
      </c>
      <c r="O50" s="438"/>
      <c r="P50" s="184" t="str">
        <f t="shared" si="12"/>
        <v>⑨</v>
      </c>
      <c r="Q50" s="430">
        <v>42588</v>
      </c>
      <c r="R50" s="431"/>
      <c r="S50" s="185" t="str">
        <f t="shared" si="13"/>
        <v>土</v>
      </c>
      <c r="T50" s="433" t="s">
        <v>96</v>
      </c>
      <c r="U50" s="434"/>
      <c r="V50" s="426">
        <v>0.375</v>
      </c>
      <c r="W50" s="426"/>
      <c r="X50" s="420" t="str">
        <f t="shared" si="14"/>
        <v>FC小松
1st</v>
      </c>
      <c r="Y50" s="420"/>
      <c r="Z50" s="420"/>
      <c r="AA50" s="420" t="str">
        <f t="shared" si="15"/>
        <v>FC.
SOUTHERN
1st</v>
      </c>
      <c r="AB50" s="420"/>
      <c r="AC50" s="420"/>
      <c r="AD50" s="393" t="s">
        <v>80</v>
      </c>
      <c r="AE50" s="394" t="s">
        <v>73</v>
      </c>
      <c r="AF50" s="517">
        <f t="shared" si="9"/>
        <v>4258807.38062</v>
      </c>
      <c r="AG50" s="518"/>
      <c r="AH50" s="518"/>
      <c r="AI50" s="194">
        <f t="shared" si="8"/>
        <v>35</v>
      </c>
    </row>
    <row r="51" spans="2:35" x14ac:dyDescent="0.25">
      <c r="B51" s="94">
        <v>42666</v>
      </c>
      <c r="C51" s="90" t="str">
        <f t="shared" si="10"/>
        <v>日</v>
      </c>
      <c r="D51" s="168" t="s">
        <v>177</v>
      </c>
      <c r="E51" s="170" t="s">
        <v>178</v>
      </c>
      <c r="M51">
        <v>36</v>
      </c>
      <c r="N51" s="437">
        <v>482</v>
      </c>
      <c r="O51" s="438"/>
      <c r="P51" s="184" t="str">
        <f t="shared" si="12"/>
        <v>⑨</v>
      </c>
      <c r="Q51" s="430">
        <v>42588</v>
      </c>
      <c r="R51" s="431"/>
      <c r="S51" s="185" t="str">
        <f t="shared" si="13"/>
        <v>土</v>
      </c>
      <c r="T51" s="433" t="s">
        <v>96</v>
      </c>
      <c r="U51" s="434"/>
      <c r="V51" s="426">
        <v>0.4513888888888889</v>
      </c>
      <c r="W51" s="426"/>
      <c r="X51" s="420" t="str">
        <f t="shared" si="14"/>
        <v>Riopedra
加賀FC</v>
      </c>
      <c r="Y51" s="420"/>
      <c r="Z51" s="420"/>
      <c r="AA51" s="420" t="str">
        <f t="shared" si="15"/>
        <v>テイヘンズ
FC　1st</v>
      </c>
      <c r="AB51" s="420"/>
      <c r="AC51" s="420"/>
      <c r="AD51" s="393" t="s">
        <v>66</v>
      </c>
      <c r="AE51" s="394" t="s">
        <v>67</v>
      </c>
      <c r="AF51" s="517">
        <f t="shared" si="9"/>
        <v>4258807.4562088894</v>
      </c>
      <c r="AG51" s="518"/>
      <c r="AH51" s="518"/>
      <c r="AI51" s="194">
        <f t="shared" si="8"/>
        <v>36</v>
      </c>
    </row>
    <row r="52" spans="2:35" x14ac:dyDescent="0.25">
      <c r="B52" s="325">
        <v>42672</v>
      </c>
      <c r="C52" s="326" t="str">
        <f t="shared" si="10"/>
        <v>土</v>
      </c>
      <c r="D52" s="327" t="s">
        <v>179</v>
      </c>
      <c r="E52" s="379" t="s">
        <v>180</v>
      </c>
      <c r="M52">
        <v>37</v>
      </c>
      <c r="N52" s="437">
        <v>572</v>
      </c>
      <c r="O52" s="438"/>
      <c r="P52" s="184" t="str">
        <f t="shared" si="12"/>
        <v>②</v>
      </c>
      <c r="Q52" s="430">
        <v>42617</v>
      </c>
      <c r="R52" s="431"/>
      <c r="S52" s="185" t="str">
        <f>IF(N52="","",INDEX($B$16:$F$68,MATCH(Q52,$B$16:$B$68,1),2))</f>
        <v>火</v>
      </c>
      <c r="T52" s="433" t="s">
        <v>112</v>
      </c>
      <c r="U52" s="434"/>
      <c r="V52" s="426">
        <v>0.41666666666666669</v>
      </c>
      <c r="W52" s="426"/>
      <c r="X52" s="420" t="str">
        <f t="shared" si="14"/>
        <v>FC小松
1st</v>
      </c>
      <c r="Y52" s="420"/>
      <c r="Z52" s="420"/>
      <c r="AA52" s="420" t="str">
        <f t="shared" si="15"/>
        <v>ヘミニス
金沢FC
1st</v>
      </c>
      <c r="AB52" s="420"/>
      <c r="AC52" s="420"/>
      <c r="AD52" s="393" t="s">
        <v>80</v>
      </c>
      <c r="AE52" s="394" t="s">
        <v>72</v>
      </c>
      <c r="AF52" s="517">
        <f t="shared" si="9"/>
        <v>4261712.4223866668</v>
      </c>
      <c r="AG52" s="518"/>
      <c r="AH52" s="518"/>
      <c r="AI52" s="194">
        <f t="shared" si="8"/>
        <v>37</v>
      </c>
    </row>
    <row r="53" spans="2:35" x14ac:dyDescent="0.25">
      <c r="B53" s="198">
        <v>42673</v>
      </c>
      <c r="C53" s="88" t="str">
        <f t="shared" si="10"/>
        <v>日</v>
      </c>
      <c r="D53" s="206" t="s">
        <v>179</v>
      </c>
      <c r="E53" s="207" t="s">
        <v>180</v>
      </c>
      <c r="M53">
        <v>38</v>
      </c>
      <c r="N53" s="437">
        <v>382</v>
      </c>
      <c r="O53" s="438"/>
      <c r="P53" s="184" t="str">
        <f t="shared" si="12"/>
        <v>②</v>
      </c>
      <c r="Q53" s="430">
        <v>42617</v>
      </c>
      <c r="R53" s="431"/>
      <c r="S53" s="185" t="str">
        <f t="shared" si="13"/>
        <v>火</v>
      </c>
      <c r="T53" s="433" t="s">
        <v>112</v>
      </c>
      <c r="U53" s="434"/>
      <c r="V53" s="426">
        <v>0.49305555555555558</v>
      </c>
      <c r="W53" s="426"/>
      <c r="X53" s="420" t="str">
        <f t="shared" si="14"/>
        <v>星稜中学校</v>
      </c>
      <c r="Y53" s="420"/>
      <c r="Z53" s="420"/>
      <c r="AA53" s="420" t="str">
        <f t="shared" si="15"/>
        <v>テイヘンズ
FC　1st</v>
      </c>
      <c r="AB53" s="420"/>
      <c r="AC53" s="420"/>
      <c r="AD53" s="393" t="s">
        <v>67</v>
      </c>
      <c r="AE53" s="394" t="s">
        <v>83</v>
      </c>
      <c r="AF53" s="517">
        <f t="shared" si="9"/>
        <v>4261712.4968755562</v>
      </c>
      <c r="AG53" s="518"/>
      <c r="AH53" s="518"/>
      <c r="AI53" s="194">
        <f t="shared" si="8"/>
        <v>38</v>
      </c>
    </row>
    <row r="54" spans="2:35" ht="13.15" thickBot="1" x14ac:dyDescent="0.3">
      <c r="B54" s="380">
        <v>42677</v>
      </c>
      <c r="C54" s="381" t="str">
        <f t="shared" si="10"/>
        <v>木</v>
      </c>
      <c r="D54" s="382" t="s">
        <v>181</v>
      </c>
      <c r="E54" s="174" t="s">
        <v>182</v>
      </c>
      <c r="M54">
        <v>39</v>
      </c>
      <c r="N54" s="437">
        <v>342</v>
      </c>
      <c r="O54" s="438"/>
      <c r="P54" s="184" t="str">
        <f t="shared" si="12"/>
        <v>②</v>
      </c>
      <c r="Q54" s="430">
        <v>42624</v>
      </c>
      <c r="R54" s="431"/>
      <c r="S54" s="185" t="str">
        <f t="shared" si="13"/>
        <v>火</v>
      </c>
      <c r="T54" s="433" t="s">
        <v>128</v>
      </c>
      <c r="U54" s="434"/>
      <c r="V54" s="426">
        <v>0.41666666666666669</v>
      </c>
      <c r="W54" s="426"/>
      <c r="X54" s="420" t="str">
        <f t="shared" si="14"/>
        <v>星稜中学校</v>
      </c>
      <c r="Y54" s="420"/>
      <c r="Z54" s="420"/>
      <c r="AA54" s="420" t="str">
        <f t="shared" si="15"/>
        <v>Riopedra
加賀FC</v>
      </c>
      <c r="AB54" s="420"/>
      <c r="AC54" s="420"/>
      <c r="AD54" s="393" t="s">
        <v>38</v>
      </c>
      <c r="AE54" s="394" t="s">
        <v>38</v>
      </c>
      <c r="AF54" s="517">
        <f t="shared" si="9"/>
        <v>4262416.4200866669</v>
      </c>
      <c r="AG54" s="518"/>
      <c r="AH54" s="518"/>
      <c r="AI54" s="194">
        <f t="shared" si="8"/>
        <v>39</v>
      </c>
    </row>
    <row r="55" spans="2:35" ht="13.15" thickTop="1" x14ac:dyDescent="0.25">
      <c r="B55" s="210">
        <v>42569</v>
      </c>
      <c r="C55" s="97" t="str">
        <f t="shared" ref="C55:C60" si="16">IF(B55="","",TEXT(B55,"aaa"))</f>
        <v>月</v>
      </c>
      <c r="D55" s="168" t="str">
        <f t="shared" ref="D55:D60" si="17">IF(B55="","",INDEX($B$16:$E$54,MATCH(B55,$B$16:$B$54,1),3))</f>
        <v>第７節</v>
      </c>
      <c r="E55" s="174" t="str">
        <f t="shared" ref="E55:E60" si="18">IF(B55="","",INDEX($B$16:$E$54,MATCH(B55,$B$16:$B$54,1),4))</f>
        <v>⑦</v>
      </c>
      <c r="M55">
        <v>40</v>
      </c>
      <c r="N55" s="437">
        <v>122</v>
      </c>
      <c r="O55" s="438"/>
      <c r="P55" s="184" t="str">
        <f t="shared" si="12"/>
        <v>②</v>
      </c>
      <c r="Q55" s="430">
        <v>42624</v>
      </c>
      <c r="R55" s="431"/>
      <c r="S55" s="185" t="str">
        <f t="shared" si="13"/>
        <v>火</v>
      </c>
      <c r="T55" s="433" t="s">
        <v>78</v>
      </c>
      <c r="U55" s="434"/>
      <c r="V55" s="426">
        <v>0.39583333333333331</v>
      </c>
      <c r="W55" s="426"/>
      <c r="X55" s="427" t="str">
        <f t="shared" si="14"/>
        <v>ツエーゲン
金沢U-15
1st</v>
      </c>
      <c r="Y55" s="428"/>
      <c r="Z55" s="429"/>
      <c r="AA55" s="420" t="str">
        <f t="shared" si="15"/>
        <v>セブン能登
1st</v>
      </c>
      <c r="AB55" s="420"/>
      <c r="AC55" s="420"/>
      <c r="AD55" s="393" t="s">
        <v>38</v>
      </c>
      <c r="AE55" s="394" t="s">
        <v>38</v>
      </c>
      <c r="AF55" s="517">
        <f t="shared" si="9"/>
        <v>4262423.397053333</v>
      </c>
      <c r="AG55" s="518"/>
      <c r="AH55" s="518"/>
      <c r="AI55" s="194">
        <f t="shared" si="8"/>
        <v>40</v>
      </c>
    </row>
    <row r="56" spans="2:35" x14ac:dyDescent="0.25">
      <c r="B56" s="211">
        <v>42493</v>
      </c>
      <c r="C56" s="340" t="str">
        <f t="shared" si="16"/>
        <v>火</v>
      </c>
      <c r="D56" s="168" t="str">
        <f t="shared" si="17"/>
        <v>第２節</v>
      </c>
      <c r="E56" s="170" t="str">
        <f t="shared" si="18"/>
        <v>②</v>
      </c>
      <c r="M56">
        <v>41</v>
      </c>
      <c r="N56" s="437">
        <v>142</v>
      </c>
      <c r="O56" s="438"/>
      <c r="P56" s="184" t="str">
        <f t="shared" si="12"/>
        <v>②</v>
      </c>
      <c r="Q56" s="430">
        <v>42644</v>
      </c>
      <c r="R56" s="431"/>
      <c r="S56" s="185" t="str">
        <f t="shared" si="13"/>
        <v>火</v>
      </c>
      <c r="T56" s="433" t="s">
        <v>88</v>
      </c>
      <c r="U56" s="434"/>
      <c r="V56" s="426">
        <v>0.41666666666666669</v>
      </c>
      <c r="W56" s="426"/>
      <c r="X56" s="427" t="str">
        <f t="shared" si="14"/>
        <v>ツエーゲン
金沢U-15
1st</v>
      </c>
      <c r="Y56" s="428"/>
      <c r="Z56" s="429"/>
      <c r="AA56" s="420" t="str">
        <f t="shared" si="15"/>
        <v>Riopedra
加賀FC</v>
      </c>
      <c r="AB56" s="420"/>
      <c r="AC56" s="420"/>
      <c r="AD56" s="393" t="s">
        <v>83</v>
      </c>
      <c r="AE56" s="394" t="s">
        <v>82</v>
      </c>
      <c r="AF56" s="517">
        <f t="shared" si="9"/>
        <v>4264405.4180866666</v>
      </c>
      <c r="AG56" s="518"/>
      <c r="AH56" s="518"/>
      <c r="AI56" s="194">
        <f t="shared" si="8"/>
        <v>41</v>
      </c>
    </row>
    <row r="57" spans="2:35" x14ac:dyDescent="0.25">
      <c r="B57" s="212"/>
      <c r="C57" s="341" t="str">
        <f t="shared" si="16"/>
        <v/>
      </c>
      <c r="D57" s="339" t="str">
        <f t="shared" si="17"/>
        <v/>
      </c>
      <c r="E57" s="174" t="str">
        <f t="shared" si="18"/>
        <v/>
      </c>
      <c r="M57">
        <v>42</v>
      </c>
      <c r="N57" s="437">
        <v>272</v>
      </c>
      <c r="O57" s="438"/>
      <c r="P57" s="184" t="str">
        <f t="shared" si="12"/>
        <v>②</v>
      </c>
      <c r="Q57" s="430">
        <v>42644</v>
      </c>
      <c r="R57" s="431"/>
      <c r="S57" s="185" t="str">
        <f t="shared" si="13"/>
        <v>火</v>
      </c>
      <c r="T57" s="433" t="s">
        <v>88</v>
      </c>
      <c r="U57" s="434"/>
      <c r="V57" s="426">
        <v>0.49305555555555558</v>
      </c>
      <c r="W57" s="426"/>
      <c r="X57" s="420" t="str">
        <f t="shared" si="14"/>
        <v>セブン能登
1st</v>
      </c>
      <c r="Y57" s="420"/>
      <c r="Z57" s="420"/>
      <c r="AA57" s="420" t="str">
        <f t="shared" si="15"/>
        <v>ヘミニス
金沢FC
1st</v>
      </c>
      <c r="AB57" s="420"/>
      <c r="AC57" s="420"/>
      <c r="AD57" s="393" t="s">
        <v>73</v>
      </c>
      <c r="AE57" s="394" t="s">
        <v>79</v>
      </c>
      <c r="AF57" s="517">
        <f t="shared" si="9"/>
        <v>4264405.4957755562</v>
      </c>
      <c r="AG57" s="518"/>
      <c r="AH57" s="518"/>
      <c r="AI57" s="194">
        <f t="shared" si="8"/>
        <v>42</v>
      </c>
    </row>
    <row r="58" spans="2:35" x14ac:dyDescent="0.25">
      <c r="B58" s="212"/>
      <c r="C58" s="341" t="str">
        <f t="shared" si="16"/>
        <v/>
      </c>
      <c r="D58" s="339" t="str">
        <f t="shared" si="17"/>
        <v/>
      </c>
      <c r="E58" s="174" t="str">
        <f t="shared" si="18"/>
        <v/>
      </c>
      <c r="M58">
        <v>43</v>
      </c>
      <c r="N58" s="437">
        <v>682</v>
      </c>
      <c r="O58" s="438"/>
      <c r="P58" s="184" t="str">
        <f t="shared" si="12"/>
        <v>②</v>
      </c>
      <c r="Q58" s="430">
        <v>42645</v>
      </c>
      <c r="R58" s="431"/>
      <c r="S58" s="185" t="str">
        <f t="shared" si="13"/>
        <v>火</v>
      </c>
      <c r="T58" s="435" t="s">
        <v>125</v>
      </c>
      <c r="U58" s="436"/>
      <c r="V58" s="426">
        <v>0.375</v>
      </c>
      <c r="W58" s="426"/>
      <c r="X58" s="420" t="str">
        <f t="shared" si="14"/>
        <v>FC.
SOUTHERN
1st</v>
      </c>
      <c r="Y58" s="420"/>
      <c r="Z58" s="420"/>
      <c r="AA58" s="420" t="str">
        <f t="shared" si="15"/>
        <v>テイヘンズ
FC　1st</v>
      </c>
      <c r="AB58" s="420"/>
      <c r="AC58" s="420"/>
      <c r="AD58" s="393" t="s">
        <v>72</v>
      </c>
      <c r="AE58" s="394" t="s">
        <v>67</v>
      </c>
      <c r="AF58" s="517">
        <f t="shared" si="9"/>
        <v>4264529.3818199998</v>
      </c>
      <c r="AG58" s="518"/>
      <c r="AH58" s="518"/>
      <c r="AI58" s="194">
        <f t="shared" si="8"/>
        <v>43</v>
      </c>
    </row>
    <row r="59" spans="2:35" x14ac:dyDescent="0.25">
      <c r="B59" s="213"/>
      <c r="C59" s="341" t="str">
        <f t="shared" si="16"/>
        <v/>
      </c>
      <c r="D59" s="339" t="str">
        <f t="shared" si="17"/>
        <v/>
      </c>
      <c r="E59" s="174" t="str">
        <f t="shared" si="18"/>
        <v/>
      </c>
      <c r="M59">
        <v>44</v>
      </c>
      <c r="N59" s="437">
        <v>352</v>
      </c>
      <c r="O59" s="438"/>
      <c r="P59" s="184" t="str">
        <f t="shared" si="12"/>
        <v>②</v>
      </c>
      <c r="Q59" s="430">
        <v>42645</v>
      </c>
      <c r="R59" s="431"/>
      <c r="S59" s="185" t="str">
        <f t="shared" si="13"/>
        <v>火</v>
      </c>
      <c r="T59" s="435" t="s">
        <v>125</v>
      </c>
      <c r="U59" s="436"/>
      <c r="V59" s="426">
        <v>0.4513888888888889</v>
      </c>
      <c r="W59" s="426"/>
      <c r="X59" s="420" t="str">
        <f t="shared" si="14"/>
        <v>星稜中学校</v>
      </c>
      <c r="Y59" s="420"/>
      <c r="Z59" s="420"/>
      <c r="AA59" s="420" t="str">
        <f t="shared" si="15"/>
        <v>FC小松
1st</v>
      </c>
      <c r="AB59" s="420"/>
      <c r="AC59" s="420"/>
      <c r="AD59" s="393" t="s">
        <v>66</v>
      </c>
      <c r="AE59" s="394" t="s">
        <v>80</v>
      </c>
      <c r="AF59" s="517">
        <f t="shared" si="9"/>
        <v>4264529.4549088888</v>
      </c>
      <c r="AG59" s="518"/>
      <c r="AH59" s="518"/>
      <c r="AI59" s="194">
        <f t="shared" si="8"/>
        <v>44</v>
      </c>
    </row>
    <row r="60" spans="2:35" ht="13.15" thickBot="1" x14ac:dyDescent="0.3">
      <c r="B60" s="214"/>
      <c r="C60" s="341" t="str">
        <f t="shared" si="16"/>
        <v/>
      </c>
      <c r="D60" s="339" t="str">
        <f t="shared" si="17"/>
        <v/>
      </c>
      <c r="E60" s="174" t="str">
        <f t="shared" si="18"/>
        <v/>
      </c>
      <c r="L60" s="439" t="s">
        <v>132</v>
      </c>
      <c r="M60">
        <v>45</v>
      </c>
      <c r="N60" s="437">
        <v>182</v>
      </c>
      <c r="O60" s="438"/>
      <c r="P60" s="184" t="str">
        <f t="shared" si="12"/>
        <v>②</v>
      </c>
      <c r="Q60" s="430">
        <v>42658</v>
      </c>
      <c r="R60" s="431"/>
      <c r="S60" s="185" t="str">
        <f t="shared" si="13"/>
        <v>火</v>
      </c>
      <c r="T60" s="433" t="s">
        <v>88</v>
      </c>
      <c r="U60" s="434"/>
      <c r="V60" s="426">
        <v>0.41666666666666669</v>
      </c>
      <c r="W60" s="426"/>
      <c r="X60" s="427" t="str">
        <f t="shared" si="14"/>
        <v>ツエーゲン
金沢U-15
1st</v>
      </c>
      <c r="Y60" s="428"/>
      <c r="Z60" s="429"/>
      <c r="AA60" s="420" t="str">
        <f t="shared" si="15"/>
        <v>テイヘンズ
FC　1st</v>
      </c>
      <c r="AB60" s="420"/>
      <c r="AC60" s="420"/>
      <c r="AD60" s="393" t="s">
        <v>82</v>
      </c>
      <c r="AE60" s="394" t="s">
        <v>67</v>
      </c>
      <c r="AF60" s="517">
        <f t="shared" si="9"/>
        <v>4265805.4184866669</v>
      </c>
      <c r="AG60" s="518"/>
      <c r="AH60" s="518"/>
      <c r="AI60" s="194">
        <f t="shared" si="8"/>
        <v>45</v>
      </c>
    </row>
    <row r="61" spans="2:35" ht="13.15" thickTop="1" x14ac:dyDescent="0.25">
      <c r="B61" s="342"/>
      <c r="C61" s="343"/>
      <c r="D61" s="344"/>
      <c r="E61" s="300"/>
      <c r="L61" s="439"/>
      <c r="M61">
        <v>46</v>
      </c>
      <c r="N61" s="437">
        <v>252</v>
      </c>
      <c r="O61" s="438"/>
      <c r="P61" s="184" t="str">
        <f t="shared" si="12"/>
        <v>②</v>
      </c>
      <c r="Q61" s="430">
        <v>42658</v>
      </c>
      <c r="R61" s="431"/>
      <c r="S61" s="185" t="str">
        <f t="shared" si="13"/>
        <v>火</v>
      </c>
      <c r="T61" s="433" t="s">
        <v>88</v>
      </c>
      <c r="U61" s="434"/>
      <c r="V61" s="426">
        <v>0.5</v>
      </c>
      <c r="W61" s="426"/>
      <c r="X61" s="420" t="str">
        <f t="shared" si="14"/>
        <v>セブン能登
1st</v>
      </c>
      <c r="Y61" s="420"/>
      <c r="Z61" s="420"/>
      <c r="AA61" s="420" t="str">
        <f t="shared" si="15"/>
        <v>FC小松
1st</v>
      </c>
      <c r="AB61" s="420"/>
      <c r="AC61" s="420"/>
      <c r="AD61" s="393" t="s">
        <v>79</v>
      </c>
      <c r="AE61" s="394" t="s">
        <v>80</v>
      </c>
      <c r="AF61" s="517">
        <f t="shared" si="9"/>
        <v>4265805.5025199996</v>
      </c>
      <c r="AG61" s="518"/>
      <c r="AH61" s="518"/>
      <c r="AI61" s="194">
        <f t="shared" si="8"/>
        <v>46</v>
      </c>
    </row>
    <row r="62" spans="2:35" x14ac:dyDescent="0.25">
      <c r="L62" s="439"/>
      <c r="M62">
        <v>47</v>
      </c>
      <c r="N62" s="437">
        <v>372</v>
      </c>
      <c r="O62" s="438"/>
      <c r="P62" s="184" t="str">
        <f t="shared" si="12"/>
        <v>②</v>
      </c>
      <c r="Q62" s="430">
        <v>42659</v>
      </c>
      <c r="R62" s="431"/>
      <c r="S62" s="185" t="str">
        <f t="shared" si="13"/>
        <v>火</v>
      </c>
      <c r="T62" s="435" t="s">
        <v>125</v>
      </c>
      <c r="U62" s="436"/>
      <c r="V62" s="426">
        <v>0.375</v>
      </c>
      <c r="W62" s="426"/>
      <c r="X62" s="420" t="str">
        <f t="shared" si="14"/>
        <v>星稜中学校</v>
      </c>
      <c r="Y62" s="420"/>
      <c r="Z62" s="420"/>
      <c r="AA62" s="420" t="str">
        <f t="shared" si="15"/>
        <v>ヘミニス
金沢FC
1st</v>
      </c>
      <c r="AB62" s="420"/>
      <c r="AC62" s="420"/>
      <c r="AD62" s="393" t="s">
        <v>73</v>
      </c>
      <c r="AE62" s="394" t="s">
        <v>66</v>
      </c>
      <c r="AF62" s="517">
        <f t="shared" si="9"/>
        <v>4265929.3787200004</v>
      </c>
      <c r="AG62" s="518"/>
      <c r="AH62" s="518"/>
      <c r="AI62" s="194">
        <f t="shared" si="8"/>
        <v>47</v>
      </c>
    </row>
    <row r="63" spans="2:35" x14ac:dyDescent="0.25">
      <c r="L63" s="439"/>
      <c r="M63">
        <v>48</v>
      </c>
      <c r="N63" s="437">
        <v>462</v>
      </c>
      <c r="O63" s="438"/>
      <c r="P63" s="184" t="str">
        <f t="shared" si="12"/>
        <v>②</v>
      </c>
      <c r="Q63" s="430">
        <v>42659</v>
      </c>
      <c r="R63" s="431"/>
      <c r="S63" s="185" t="str">
        <f t="shared" si="13"/>
        <v>火</v>
      </c>
      <c r="T63" s="435" t="s">
        <v>125</v>
      </c>
      <c r="U63" s="436"/>
      <c r="V63" s="426">
        <v>0.4513888888888889</v>
      </c>
      <c r="W63" s="426"/>
      <c r="X63" s="420" t="str">
        <f t="shared" si="14"/>
        <v>Riopedra
加賀FC</v>
      </c>
      <c r="Y63" s="420"/>
      <c r="Z63" s="420"/>
      <c r="AA63" s="420" t="str">
        <f t="shared" si="15"/>
        <v>FC.
SOUTHERN
1st</v>
      </c>
      <c r="AB63" s="420"/>
      <c r="AC63" s="420"/>
      <c r="AD63" s="393" t="s">
        <v>83</v>
      </c>
      <c r="AE63" s="394" t="s">
        <v>72</v>
      </c>
      <c r="AF63" s="517">
        <f t="shared" si="9"/>
        <v>4265929.4560088888</v>
      </c>
      <c r="AG63" s="518"/>
      <c r="AH63" s="518"/>
      <c r="AI63" s="194">
        <f t="shared" si="8"/>
        <v>48</v>
      </c>
    </row>
    <row r="64" spans="2:35" ht="13.15" thickBot="1" x14ac:dyDescent="0.3">
      <c r="L64" s="460"/>
      <c r="M64" s="191">
        <v>49</v>
      </c>
      <c r="N64" s="437">
        <v>782</v>
      </c>
      <c r="O64" s="438"/>
      <c r="P64" s="184" t="str">
        <f t="shared" si="12"/>
        <v>②</v>
      </c>
      <c r="Q64" s="430">
        <v>42665</v>
      </c>
      <c r="R64" s="431"/>
      <c r="S64" s="185" t="str">
        <f t="shared" si="13"/>
        <v>火</v>
      </c>
      <c r="T64" s="433" t="s">
        <v>96</v>
      </c>
      <c r="U64" s="434"/>
      <c r="V64" s="426">
        <v>0.375</v>
      </c>
      <c r="W64" s="426"/>
      <c r="X64" s="420" t="str">
        <f t="shared" si="14"/>
        <v>ヘミニス
金沢FC
1st</v>
      </c>
      <c r="Y64" s="420"/>
      <c r="Z64" s="420"/>
      <c r="AA64" s="420" t="str">
        <f t="shared" si="15"/>
        <v>テイヘンズ
FC　1st</v>
      </c>
      <c r="AB64" s="420"/>
      <c r="AC64" s="420"/>
      <c r="AD64" s="393" t="s">
        <v>38</v>
      </c>
      <c r="AE64" s="394" t="s">
        <v>38</v>
      </c>
      <c r="AF64" s="517">
        <f t="shared" si="9"/>
        <v>4266507.3828199999</v>
      </c>
      <c r="AG64" s="518"/>
      <c r="AH64" s="518"/>
      <c r="AI64" s="194">
        <f t="shared" si="8"/>
        <v>49</v>
      </c>
    </row>
    <row r="65" spans="1:35" x14ac:dyDescent="0.25">
      <c r="M65">
        <v>50</v>
      </c>
      <c r="N65" s="437">
        <v>452</v>
      </c>
      <c r="O65" s="438"/>
      <c r="P65" s="184" t="str">
        <f t="shared" si="12"/>
        <v>②</v>
      </c>
      <c r="Q65" s="430">
        <v>42673</v>
      </c>
      <c r="R65" s="431"/>
      <c r="S65" s="185" t="str">
        <f t="shared" si="13"/>
        <v>火</v>
      </c>
      <c r="T65" s="433" t="s">
        <v>112</v>
      </c>
      <c r="U65" s="434"/>
      <c r="V65" s="426">
        <v>0.41666666666666669</v>
      </c>
      <c r="W65" s="426"/>
      <c r="X65" s="420" t="str">
        <f t="shared" si="14"/>
        <v>Riopedra
加賀FC</v>
      </c>
      <c r="Y65" s="420"/>
      <c r="Z65" s="420"/>
      <c r="AA65" s="420" t="str">
        <f t="shared" si="15"/>
        <v>FC小松
1st</v>
      </c>
      <c r="AB65" s="420"/>
      <c r="AC65" s="420"/>
      <c r="AD65" s="393" t="s">
        <v>38</v>
      </c>
      <c r="AE65" s="394" t="s">
        <v>38</v>
      </c>
      <c r="AF65" s="517">
        <f t="shared" si="9"/>
        <v>4267312.4211866669</v>
      </c>
      <c r="AG65" s="518"/>
      <c r="AH65" s="518"/>
      <c r="AI65" s="194">
        <f t="shared" si="8"/>
        <v>52</v>
      </c>
    </row>
    <row r="66" spans="1:35" x14ac:dyDescent="0.25">
      <c r="M66">
        <v>51</v>
      </c>
      <c r="N66" s="437">
        <v>262</v>
      </c>
      <c r="O66" s="438"/>
      <c r="P66" s="184" t="str">
        <f t="shared" si="12"/>
        <v>②</v>
      </c>
      <c r="Q66" s="430">
        <v>42673</v>
      </c>
      <c r="R66" s="431"/>
      <c r="S66" s="185" t="str">
        <f t="shared" si="13"/>
        <v>火</v>
      </c>
      <c r="T66" s="435" t="s">
        <v>65</v>
      </c>
      <c r="U66" s="436"/>
      <c r="V66" s="426">
        <v>0.54861111111111105</v>
      </c>
      <c r="W66" s="426"/>
      <c r="X66" s="420" t="str">
        <f t="shared" si="14"/>
        <v>セブン能登
1st</v>
      </c>
      <c r="Y66" s="420"/>
      <c r="Z66" s="420"/>
      <c r="AA66" s="420" t="str">
        <f t="shared" si="15"/>
        <v>FC.
SOUTHERN
1st</v>
      </c>
      <c r="AB66" s="420"/>
      <c r="AC66" s="420"/>
      <c r="AD66" s="393" t="s">
        <v>72</v>
      </c>
      <c r="AE66" s="394" t="s">
        <v>79</v>
      </c>
      <c r="AF66" s="517">
        <f t="shared" si="9"/>
        <v>4267302.5512311114</v>
      </c>
      <c r="AG66" s="518"/>
      <c r="AH66" s="518"/>
      <c r="AI66" s="194">
        <f t="shared" si="8"/>
        <v>50</v>
      </c>
    </row>
    <row r="67" spans="1:35" x14ac:dyDescent="0.25">
      <c r="L67" s="439" t="s">
        <v>155</v>
      </c>
      <c r="M67">
        <v>52</v>
      </c>
      <c r="N67" s="437">
        <v>132</v>
      </c>
      <c r="O67" s="438"/>
      <c r="P67" s="184" t="str">
        <f t="shared" si="12"/>
        <v>②</v>
      </c>
      <c r="Q67" s="430">
        <v>42673</v>
      </c>
      <c r="R67" s="431"/>
      <c r="S67" s="185" t="str">
        <f t="shared" si="13"/>
        <v>火</v>
      </c>
      <c r="T67" s="435" t="s">
        <v>65</v>
      </c>
      <c r="U67" s="436"/>
      <c r="V67" s="426">
        <v>0.625</v>
      </c>
      <c r="W67" s="426"/>
      <c r="X67" s="427" t="str">
        <f t="shared" si="14"/>
        <v>ツエーゲン
金沢U-15
1st</v>
      </c>
      <c r="Y67" s="428"/>
      <c r="Z67" s="429"/>
      <c r="AA67" s="420" t="str">
        <f t="shared" si="15"/>
        <v>星稜中学校</v>
      </c>
      <c r="AB67" s="420"/>
      <c r="AC67" s="420"/>
      <c r="AD67" s="393" t="s">
        <v>66</v>
      </c>
      <c r="AE67" s="394" t="s">
        <v>82</v>
      </c>
      <c r="AF67" s="517">
        <f t="shared" si="9"/>
        <v>4267302.6263199998</v>
      </c>
      <c r="AG67" s="518"/>
      <c r="AH67" s="518"/>
      <c r="AI67" s="194">
        <f t="shared" si="8"/>
        <v>51</v>
      </c>
    </row>
    <row r="68" spans="1:35" x14ac:dyDescent="0.25">
      <c r="L68" s="439"/>
      <c r="M68">
        <v>53</v>
      </c>
      <c r="N68" s="437">
        <v>472</v>
      </c>
      <c r="O68" s="438"/>
      <c r="P68" s="184" t="str">
        <f t="shared" si="12"/>
        <v>②</v>
      </c>
      <c r="Q68" s="430">
        <v>42677</v>
      </c>
      <c r="R68" s="431"/>
      <c r="S68" s="185" t="str">
        <f t="shared" si="13"/>
        <v>火</v>
      </c>
      <c r="T68" s="433" t="s">
        <v>88</v>
      </c>
      <c r="U68" s="434"/>
      <c r="V68" s="426">
        <v>0.45833333333333331</v>
      </c>
      <c r="W68" s="426"/>
      <c r="X68" s="420" t="str">
        <f t="shared" si="14"/>
        <v>Riopedra
加賀FC</v>
      </c>
      <c r="Y68" s="420"/>
      <c r="Z68" s="420"/>
      <c r="AA68" s="420" t="str">
        <f t="shared" si="15"/>
        <v>ヘミニス
金沢FC
1st</v>
      </c>
      <c r="AB68" s="420"/>
      <c r="AC68" s="420"/>
      <c r="AD68" s="393" t="s">
        <v>79</v>
      </c>
      <c r="AE68" s="394" t="s">
        <v>66</v>
      </c>
      <c r="AF68" s="517">
        <f t="shared" si="9"/>
        <v>4267705.4630533326</v>
      </c>
      <c r="AG68" s="518"/>
      <c r="AH68" s="518"/>
      <c r="AI68" s="194">
        <f t="shared" si="8"/>
        <v>55</v>
      </c>
    </row>
    <row r="69" spans="1:35" x14ac:dyDescent="0.25">
      <c r="L69" s="439"/>
      <c r="M69">
        <v>54</v>
      </c>
      <c r="N69" s="437">
        <v>162</v>
      </c>
      <c r="O69" s="438"/>
      <c r="P69" s="184" t="str">
        <f t="shared" si="12"/>
        <v>②</v>
      </c>
      <c r="Q69" s="430">
        <v>42677</v>
      </c>
      <c r="R69" s="431"/>
      <c r="S69" s="185" t="str">
        <f t="shared" si="13"/>
        <v>火</v>
      </c>
      <c r="T69" s="433" t="s">
        <v>88</v>
      </c>
      <c r="U69" s="434"/>
      <c r="V69" s="426">
        <v>0.54166666666666663</v>
      </c>
      <c r="W69" s="426"/>
      <c r="X69" s="427" t="str">
        <f t="shared" si="14"/>
        <v>ツエーゲン
金沢U-15
1st</v>
      </c>
      <c r="Y69" s="428"/>
      <c r="Z69" s="429"/>
      <c r="AA69" s="420" t="str">
        <f t="shared" si="15"/>
        <v>FC.
SOUTHERN
1st</v>
      </c>
      <c r="AB69" s="420"/>
      <c r="AC69" s="420"/>
      <c r="AD69" s="393" t="s">
        <v>73</v>
      </c>
      <c r="AE69" s="394" t="s">
        <v>83</v>
      </c>
      <c r="AF69" s="517">
        <f t="shared" si="9"/>
        <v>4267705.5432866672</v>
      </c>
      <c r="AG69" s="518"/>
      <c r="AH69" s="518"/>
      <c r="AI69" s="194">
        <f t="shared" si="8"/>
        <v>56</v>
      </c>
    </row>
    <row r="70" spans="1:35" x14ac:dyDescent="0.25">
      <c r="L70" s="439"/>
      <c r="M70">
        <v>55</v>
      </c>
      <c r="N70" s="437">
        <v>232</v>
      </c>
      <c r="O70" s="438"/>
      <c r="P70" s="184" t="str">
        <f t="shared" si="12"/>
        <v>②</v>
      </c>
      <c r="Q70" s="430">
        <v>42677</v>
      </c>
      <c r="R70" s="431"/>
      <c r="S70" s="185" t="str">
        <f t="shared" si="13"/>
        <v>火</v>
      </c>
      <c r="T70" s="435" t="s">
        <v>65</v>
      </c>
      <c r="U70" s="436"/>
      <c r="V70" s="426">
        <v>0.55555555555555558</v>
      </c>
      <c r="W70" s="426"/>
      <c r="X70" s="420" t="str">
        <f t="shared" si="14"/>
        <v>セブン能登
1st</v>
      </c>
      <c r="Y70" s="420"/>
      <c r="Z70" s="420"/>
      <c r="AA70" s="420" t="str">
        <f t="shared" si="15"/>
        <v>星稜中学校</v>
      </c>
      <c r="AB70" s="420"/>
      <c r="AC70" s="420"/>
      <c r="AD70" s="393" t="s">
        <v>67</v>
      </c>
      <c r="AE70" s="394" t="s">
        <v>80</v>
      </c>
      <c r="AF70" s="517">
        <f t="shared" si="9"/>
        <v>4267702.5578755559</v>
      </c>
      <c r="AG70" s="518"/>
      <c r="AH70" s="518"/>
      <c r="AI70" s="194">
        <f t="shared" si="8"/>
        <v>53</v>
      </c>
    </row>
    <row r="71" spans="1:35" ht="13.15" thickBot="1" x14ac:dyDescent="0.3">
      <c r="L71" s="440"/>
      <c r="M71" s="186">
        <v>56</v>
      </c>
      <c r="N71" s="437">
        <v>582</v>
      </c>
      <c r="O71" s="438"/>
      <c r="P71" s="184" t="str">
        <f t="shared" si="12"/>
        <v>②</v>
      </c>
      <c r="Q71" s="430">
        <v>42677</v>
      </c>
      <c r="R71" s="431"/>
      <c r="S71" s="185" t="str">
        <f t="shared" si="13"/>
        <v>火</v>
      </c>
      <c r="T71" s="435" t="s">
        <v>65</v>
      </c>
      <c r="U71" s="436"/>
      <c r="V71" s="426">
        <v>0.63194444444444442</v>
      </c>
      <c r="W71" s="426"/>
      <c r="X71" s="420" t="str">
        <f t="shared" si="14"/>
        <v>FC小松
1st</v>
      </c>
      <c r="Y71" s="420"/>
      <c r="Z71" s="420"/>
      <c r="AA71" s="420" t="str">
        <f t="shared" si="15"/>
        <v>テイヘンズ
FC　1st</v>
      </c>
      <c r="AB71" s="420"/>
      <c r="AC71" s="420"/>
      <c r="AD71" s="393" t="s">
        <v>72</v>
      </c>
      <c r="AE71" s="394" t="s">
        <v>82</v>
      </c>
      <c r="AF71" s="517">
        <f t="shared" si="9"/>
        <v>4267702.6377644436</v>
      </c>
      <c r="AG71" s="518"/>
      <c r="AH71" s="518"/>
      <c r="AI71" s="194">
        <f>IF(Q71="","",RANK(AF71,$AF$16:$AF$71,1))</f>
        <v>54</v>
      </c>
    </row>
    <row r="75" spans="1:35" ht="14.65" thickBot="1" x14ac:dyDescent="0.3">
      <c r="A75" s="98" t="s">
        <v>183</v>
      </c>
      <c r="F75" t="s">
        <v>184</v>
      </c>
    </row>
    <row r="76" spans="1:35" ht="13.15" thickTop="1" x14ac:dyDescent="0.25">
      <c r="B76" s="444" t="s">
        <v>185</v>
      </c>
      <c r="C76" s="445"/>
      <c r="D76" s="446"/>
      <c r="E76" s="423">
        <v>1</v>
      </c>
      <c r="F76" s="424"/>
      <c r="G76" s="425"/>
      <c r="H76" s="423">
        <v>2</v>
      </c>
      <c r="I76" s="424"/>
      <c r="J76" s="425"/>
      <c r="K76" s="423">
        <v>3</v>
      </c>
      <c r="L76" s="424"/>
      <c r="M76" s="425"/>
      <c r="N76" s="423">
        <v>4</v>
      </c>
      <c r="O76" s="424"/>
      <c r="P76" s="425"/>
      <c r="Q76" s="423">
        <v>5</v>
      </c>
      <c r="R76" s="424"/>
      <c r="S76" s="425"/>
      <c r="T76" s="423">
        <v>6</v>
      </c>
      <c r="U76" s="424"/>
      <c r="V76" s="425"/>
      <c r="W76" s="423">
        <v>7</v>
      </c>
      <c r="X76" s="424"/>
      <c r="Y76" s="425"/>
      <c r="Z76" s="423">
        <v>8</v>
      </c>
      <c r="AA76" s="424"/>
      <c r="AB76" s="425"/>
    </row>
    <row r="77" spans="1:35" ht="13.15" thickBot="1" x14ac:dyDescent="0.3">
      <c r="B77" s="447"/>
      <c r="C77" s="448"/>
      <c r="D77" s="449"/>
      <c r="E77" s="459" t="str">
        <f>IF(E4="",E3,E4)</f>
        <v>ツエーゲン
金沢U-15
1st</v>
      </c>
      <c r="F77" s="421"/>
      <c r="G77" s="421"/>
      <c r="H77" s="432" t="str">
        <f>IF(H4="",H3,H4)</f>
        <v>セブン能登
1st</v>
      </c>
      <c r="I77" s="421"/>
      <c r="J77" s="422"/>
      <c r="K77" s="421" t="str">
        <f>IF(K4="",K3,K4)</f>
        <v>星稜中学校</v>
      </c>
      <c r="L77" s="421"/>
      <c r="M77" s="421"/>
      <c r="N77" s="432" t="str">
        <f>IF(N4="",N3,N4)</f>
        <v>Riopedra
加賀FC</v>
      </c>
      <c r="O77" s="421"/>
      <c r="P77" s="422"/>
      <c r="Q77" s="432" t="str">
        <f>IF(Q4="",Q3,Q4)</f>
        <v>FC小松
1st</v>
      </c>
      <c r="R77" s="421"/>
      <c r="S77" s="422"/>
      <c r="T77" s="432" t="str">
        <f>IF(T4="",T3,T4)</f>
        <v>FC.
SOUTHERN
1st</v>
      </c>
      <c r="U77" s="421"/>
      <c r="V77" s="422"/>
      <c r="W77" s="432" t="str">
        <f>IF(W4="",W3,W4)</f>
        <v>ヘミニス
金沢FC
1st</v>
      </c>
      <c r="X77" s="421"/>
      <c r="Y77" s="422"/>
      <c r="Z77" s="421" t="str">
        <f>IF(Z4="",Z3,Z4)</f>
        <v>テイヘンズ
FC　1st</v>
      </c>
      <c r="AA77" s="421"/>
      <c r="AB77" s="422"/>
    </row>
    <row r="78" spans="1:35" ht="13.15" thickTop="1" x14ac:dyDescent="0.25">
      <c r="A78">
        <v>1</v>
      </c>
      <c r="B78" s="450" t="str">
        <f>IF(E77="",A78,E77)</f>
        <v>ツエーゲン
金沢U-15
1st</v>
      </c>
      <c r="C78" s="451"/>
      <c r="D78" s="452"/>
      <c r="E78" s="455"/>
      <c r="F78" s="456"/>
      <c r="G78" s="457"/>
      <c r="H78" s="294" t="str">
        <f>IF(COUNTIF($N$16:$N$71,VALUE($A78&amp;H$76&amp;1))=0,"",IF(COUNTIF($N$16:$N$71,VALUE($A78&amp;H$76&amp;1))=1,INDEX($N$16:$W$71,MATCH(VALUE($A78&amp;H$76&amp;1),$N$16:$N$71,0),3),"NG"))</f>
        <v>⑦</v>
      </c>
      <c r="I78" s="295">
        <f>IF(H78="","",IF(H78="NG","",INDEX($N$16:$W$71,MATCH(VALUE($A78&amp;H$76&amp;1),$N$16:$N$71,0),4)))</f>
        <v>42553</v>
      </c>
      <c r="J78" s="216" t="str">
        <f>IF(I78="","",IF(I78="NG","",INDEX($N$16:$W$71,MATCH(VALUE($A78&amp;H$76&amp;1),$N$16:$N$71,0),7)))</f>
        <v>金沢市民</v>
      </c>
      <c r="K78" s="294" t="str">
        <f>IF(COUNTIF($N$16:$N$71,VALUE($A78&amp;K$76&amp;1))=0,"",IF(COUNTIF($N$16:$N$71,VALUE($A78&amp;K$76&amp;1))=1,INDEX($N$16:$W$71,MATCH(VALUE($A78&amp;K$76&amp;1),$N$16:$N$71,0),3),"NG"))</f>
        <v>⑥</v>
      </c>
      <c r="L78" s="295">
        <f>IF(K78="","",IF(K78="NG","",INDEX($N$16:$W$71,MATCH(VALUE($A78&amp;K$76&amp;1),$N$16:$N$71,0),4)))</f>
        <v>42526</v>
      </c>
      <c r="M78" s="216" t="str">
        <f>IF(L78="","",IF(L78="NG","",INDEX($N$16:$W$71,MATCH(VALUE($A78&amp;K$76&amp;1),$N$16:$N$71,0),7)))</f>
        <v>星稜ｻｯｶｰ場</v>
      </c>
      <c r="N78" s="294" t="str">
        <f>IF(COUNTIF($N$16:$N$71,VALUE($A78&amp;N$76&amp;1))=0,"",IF(COUNTIF($N$16:$N$71,VALUE($A78&amp;N$76&amp;1))=1,INDEX($N$16:$W$71,MATCH(VALUE($A78&amp;N$76&amp;1),$N$16:$N$71,0),3),"NG"))</f>
        <v>③</v>
      </c>
      <c r="O78" s="295">
        <f>IF(N78="","",IF(N78="NG","",INDEX($N$16:$W$71,MATCH(VALUE($A78&amp;N$76&amp;1),$N$16:$N$71,0),4)))</f>
        <v>42497</v>
      </c>
      <c r="P78" s="216" t="str">
        <f>IF(O78="","",IF(O78="NG","",INDEX($N$16:$W$71,MATCH(VALUE($A78&amp;N$76&amp;1),$N$16:$N$71,0),7)))</f>
        <v>金沢交流</v>
      </c>
      <c r="Q78" s="294" t="str">
        <f>IF(COUNTIF($N$16:$N$71,VALUE($A78&amp;Q$76&amp;1))=0,"",IF(COUNTIF($N$16:$N$71,VALUE($A78&amp;Q$76&amp;1))=1,INDEX($N$16:$W$71,MATCH(VALUE($A78&amp;Q$76&amp;1),$N$16:$N$71,0),3),"NG"))</f>
        <v>②</v>
      </c>
      <c r="R78" s="295">
        <f>IF(Q78="","",IF(Q78="NG","",INDEX($N$16:$W$71,MATCH(VALUE($A78&amp;Q$76&amp;1),$N$16:$N$71,0),4)))</f>
        <v>42493</v>
      </c>
      <c r="S78" s="216" t="str">
        <f>IF(R78="","",IF(R78="NG","",INDEX($N$16:$W$71,MATCH(VALUE($A78&amp;Q$76&amp;1),$N$16:$N$71,0),7)))</f>
        <v>金沢交流</v>
      </c>
      <c r="T78" s="294" t="str">
        <f>IF(COUNTIF($N$16:$N$71,VALUE($A78&amp;T$76&amp;1))=0,"",IF(COUNTIF($N$16:$N$71,VALUE($A78&amp;T$76&amp;1))=1,INDEX($N$16:$W$71,MATCH(VALUE($A78&amp;T$76&amp;1),$N$16:$N$71,0),3),"NG"))</f>
        <v>④</v>
      </c>
      <c r="U78" s="295">
        <f>IF(T78="","",IF(T78="NG","",INDEX($N$16:$W$71,MATCH(VALUE($A78&amp;T$76&amp;1),$N$16:$N$71,0),4)))</f>
        <v>42504</v>
      </c>
      <c r="V78" s="216" t="str">
        <f>IF(U78="","",IF(U78="NG","",INDEX($N$16:$W$71,MATCH(VALUE($A78&amp;T$76&amp;1),$N$16:$N$71,0),7)))</f>
        <v>金沢交流</v>
      </c>
      <c r="W78" s="294" t="str">
        <f>IF(COUNTIF($N$16:$N$71,VALUE($A78&amp;W$76&amp;1))=0,"",IF(COUNTIF($N$16:$N$71,VALUE($A78&amp;W$76&amp;1))=1,INDEX($N$16:$W$71,MATCH(VALUE($A78&amp;W$76&amp;1),$N$16:$N$71,0),3),"NG"))</f>
        <v>⑥</v>
      </c>
      <c r="X78" s="295">
        <f>IF(W78="","",IF(W78="NG","",INDEX($N$16:$W$71,MATCH(VALUE($A78&amp;W$76&amp;1),$N$16:$N$71,0),4)))</f>
        <v>42518</v>
      </c>
      <c r="Y78" s="216" t="str">
        <f>IF(X78="","",IF(X78="NG","",INDEX($N$16:$W$71,MATCH(VALUE($A78&amp;W$76&amp;1),$N$16:$N$71,0),7)))</f>
        <v>金沢市民</v>
      </c>
      <c r="Z78" s="294" t="str">
        <f>IF(COUNTIF($N$16:$N$71,VALUE($A78&amp;Z$76&amp;1))=0,"",IF(COUNTIF($N$16:$N$71,VALUE($A78&amp;Z$76&amp;1))=1,INDEX($N$16:$W$71,MATCH(VALUE($A78&amp;Z$76&amp;1),$N$16:$N$71,0),3),"NG"))</f>
        <v>①</v>
      </c>
      <c r="AA78" s="295">
        <f>IF(Z78="","",IF(Z78="NG","",INDEX($N$16:$W$71,MATCH(VALUE($A78&amp;Z$76&amp;1),$N$16:$N$71,0),4)))</f>
        <v>42489</v>
      </c>
      <c r="AB78" s="216" t="str">
        <f>IF(AA78="","",IF(AA78="NG","",INDEX($N$16:$W$71,MATCH(VALUE($A78&amp;Z$76&amp;1),$N$16:$N$71,0),7)))</f>
        <v>能登島Ｂ</v>
      </c>
    </row>
    <row r="79" spans="1:35" x14ac:dyDescent="0.25">
      <c r="B79" s="441"/>
      <c r="C79" s="442"/>
      <c r="D79" s="443"/>
      <c r="E79" s="458"/>
      <c r="F79" s="453"/>
      <c r="G79" s="454"/>
      <c r="H79" s="296" t="str">
        <f>IF(COUNTIF($N$16:$N$71,VALUE($A78&amp;H$76&amp;2))=0,"",IF(COUNTIF($N$16:$N$71,VALUE($A78&amp;H$76&amp;2))=1,INDEX($N$16:$W$71,MATCH(VALUE($A78&amp;H$76&amp;2),$N$16:$N$71,0),3),"NG"))</f>
        <v>②</v>
      </c>
      <c r="I79" s="297">
        <f>IF(H79="","",IF(H79="NG","",INDEX($N$16:$W$71,MATCH(VALUE($A78&amp;H$76&amp;2),$N$16:$N$71,0),4)))</f>
        <v>42624</v>
      </c>
      <c r="J79" s="218" t="str">
        <f>IF(I79="","",IF(I79="NG","",INDEX($N$16:$W$71,MATCH(VALUE($A78&amp;H$76&amp;2),$N$16:$N$71,0),7)))</f>
        <v>能登島Ｂ</v>
      </c>
      <c r="K79" s="296" t="str">
        <f>IF(COUNTIF($N$16:$N$71,VALUE($A78&amp;K$76&amp;2))=0,"",IF(COUNTIF($N$16:$N$71,VALUE($A78&amp;K$76&amp;2))=1,INDEX($N$16:$W$71,MATCH(VALUE($A78&amp;K$76&amp;2),$N$16:$N$71,0),3),"NG"))</f>
        <v>②</v>
      </c>
      <c r="L79" s="297">
        <f>IF(K79="","",IF(K79="NG","",INDEX($N$16:$W$71,MATCH(VALUE($A78&amp;K$76&amp;2),$N$16:$N$71,0),4)))</f>
        <v>42673</v>
      </c>
      <c r="M79" s="218" t="str">
        <f>IF(L79="","",IF(L79="NG","",INDEX($N$16:$W$71,MATCH(VALUE($A78&amp;K$76&amp;2),$N$16:$N$71,0),7)))</f>
        <v>星稜ｻｯｶｰ場</v>
      </c>
      <c r="N79" s="296" t="str">
        <f>IF(COUNTIF($N$16:$N$71,VALUE($A78&amp;N$76&amp;2))=0,"",IF(COUNTIF($N$16:$N$71,VALUE($A78&amp;N$76&amp;2))=1,INDEX($N$16:$W$71,MATCH(VALUE($A78&amp;N$76&amp;2),$N$16:$N$71,0),3),"NG"))</f>
        <v>②</v>
      </c>
      <c r="O79" s="297">
        <f>IF(N79="","",IF(N79="NG","",INDEX($N$16:$W$71,MATCH(VALUE($A78&amp;N$76&amp;2),$N$16:$N$71,0),4)))</f>
        <v>42644</v>
      </c>
      <c r="P79" s="218" t="str">
        <f>IF(O79="","",IF(O79="NG","",INDEX($N$16:$W$71,MATCH(VALUE($A78&amp;N$76&amp;2),$N$16:$N$71,0),7)))</f>
        <v>金沢市民</v>
      </c>
      <c r="Q79" s="296" t="str">
        <f>IF(COUNTIF($N$16:$N$71,VALUE($A78&amp;Q$76&amp;2))=0,"",IF(COUNTIF($N$16:$N$71,VALUE($A78&amp;Q$76&amp;2))=1,INDEX($N$16:$W$71,MATCH(VALUE($A78&amp;Q$76&amp;2),$N$16:$N$71,0),3),"NG"))</f>
        <v>⑨</v>
      </c>
      <c r="R79" s="297">
        <f>IF(Q79="","",IF(Q79="NG","",INDEX($N$16:$W$71,MATCH(VALUE($A78&amp;Q$76&amp;2),$N$16:$N$71,0),4)))</f>
        <v>42581</v>
      </c>
      <c r="S79" s="218" t="str">
        <f>IF(R79="","",IF(R79="NG","",INDEX($N$16:$W$71,MATCH(VALUE($A78&amp;Q$76&amp;2),$N$16:$N$71,0),7)))</f>
        <v>小松市民</v>
      </c>
      <c r="T79" s="296" t="str">
        <f>IF(COUNTIF($N$16:$N$71,VALUE($A78&amp;T$76&amp;2))=0,"",IF(COUNTIF($N$16:$N$71,VALUE($A78&amp;T$76&amp;2))=1,INDEX($N$16:$W$71,MATCH(VALUE($A78&amp;T$76&amp;2),$N$16:$N$71,0),3),"NG"))</f>
        <v>②</v>
      </c>
      <c r="U79" s="297">
        <f>IF(T79="","",IF(T79="NG","",INDEX($N$16:$W$71,MATCH(VALUE($A78&amp;T$76&amp;2),$N$16:$N$71,0),4)))</f>
        <v>42677</v>
      </c>
      <c r="V79" s="218" t="str">
        <f>IF(U79="","",IF(U79="NG","",INDEX($N$16:$W$71,MATCH(VALUE($A78&amp;T$76&amp;2),$N$16:$N$71,0),7)))</f>
        <v>金沢市民</v>
      </c>
      <c r="W79" s="296" t="str">
        <f>IF(COUNTIF($N$16:$N$71,VALUE($A78&amp;W$76&amp;2))=0,"",IF(COUNTIF($N$16:$N$71,VALUE($A78&amp;W$76&amp;2))=1,INDEX($N$16:$W$71,MATCH(VALUE($A78&amp;W$76&amp;2),$N$16:$N$71,0),3),"NG"))</f>
        <v>⑧</v>
      </c>
      <c r="X79" s="297">
        <f>IF(W79="","",IF(W79="NG","",INDEX($N$16:$W$71,MATCH(VALUE($A78&amp;W$76&amp;2),$N$16:$N$71,0),4)))</f>
        <v>42574</v>
      </c>
      <c r="Y79" s="218" t="str">
        <f>IF(X79="","",IF(X79="NG","",INDEX($N$16:$W$71,MATCH(VALUE($A78&amp;W$76&amp;2),$N$16:$N$71,0),7)))</f>
        <v>北陸大FPB</v>
      </c>
      <c r="Z79" s="296" t="str">
        <f>IF(COUNTIF($N$16:$N$71,VALUE($A78&amp;Z$76&amp;2))=0,"",IF(COUNTIF($N$16:$N$71,VALUE($A78&amp;Z$76&amp;2))=1,INDEX($N$16:$W$71,MATCH(VALUE($A78&amp;Z$76&amp;2),$N$16:$N$71,0),3),"NG"))</f>
        <v>②</v>
      </c>
      <c r="AA79" s="297">
        <f>IF(Z79="","",IF(Z79="NG","",INDEX($N$16:$W$71,MATCH(VALUE($A78&amp;Z$76&amp;2),$N$16:$N$71,0),4)))</f>
        <v>42658</v>
      </c>
      <c r="AB79" s="218" t="str">
        <f>IF(AA79="","",IF(AA79="NG","",INDEX($N$16:$W$71,MATCH(VALUE($A78&amp;Z$76&amp;2),$N$16:$N$71,0),7)))</f>
        <v>金沢市民</v>
      </c>
    </row>
    <row r="80" spans="1:35" x14ac:dyDescent="0.25">
      <c r="A80">
        <v>2</v>
      </c>
      <c r="B80" s="441" t="str">
        <f>IF(H77="",A80,H77)</f>
        <v>セブン能登
1st</v>
      </c>
      <c r="C80" s="442"/>
      <c r="D80" s="443"/>
      <c r="E80" s="298" t="str">
        <f t="shared" ref="E80:G81" si="19">IF(H78="","",H78)</f>
        <v>⑦</v>
      </c>
      <c r="F80" s="299">
        <f t="shared" si="19"/>
        <v>42553</v>
      </c>
      <c r="G80" s="300" t="str">
        <f t="shared" si="19"/>
        <v>金沢市民</v>
      </c>
      <c r="H80" s="414"/>
      <c r="I80" s="415"/>
      <c r="J80" s="416"/>
      <c r="K80" s="233" t="str">
        <f>IF(COUNTIF($N$16:$N$71,VALUE($A80&amp;K$76&amp;1))=0,"",IF(COUNTIF($N$16:$N$71,VALUE($A80&amp;K$76&amp;1))=1,INDEX($N$16:$W$71,MATCH(VALUE($A80&amp;K$76&amp;1),$N$16:$N$71,0),3),"NG"))</f>
        <v>⑦</v>
      </c>
      <c r="L80" s="301">
        <f>IF(K80="","",IF(K80="NG","",INDEX($N$16:$W$71,MATCH(VALUE($A80&amp;K$76&amp;1),$N$16:$N$71,0),4)))</f>
        <v>42546</v>
      </c>
      <c r="M80" s="219" t="str">
        <f>IF(L80="","",IF(L80="NG","",INDEX($N$16:$W$71,MATCH(VALUE($A80&amp;K$76&amp;1),$N$16:$N$71,0),7)))</f>
        <v>能登島Ｂ</v>
      </c>
      <c r="N80" s="302" t="str">
        <f>IF(COUNTIF($N$16:$N$71,VALUE($A80&amp;N$76&amp;1))=0,"",IF(COUNTIF($N$16:$N$71,VALUE($A80&amp;N$76&amp;1))=1,INDEX($N$16:$W$71,MATCH(VALUE($A80&amp;N$76&amp;1),$N$16:$N$71,0),3),"NG"))</f>
        <v>②</v>
      </c>
      <c r="O80" s="301">
        <f>IF(N80="","",IF(N80="NG","",INDEX($N$16:$W$71,MATCH(VALUE($A80&amp;N$76&amp;1),$N$16:$N$71,0),4)))</f>
        <v>42491</v>
      </c>
      <c r="P80" s="219" t="str">
        <f>IF(O80="","",IF(O80="NG","",INDEX($N$16:$W$71,MATCH(VALUE($A80&amp;N$76&amp;1),$N$16:$N$71,0),7)))</f>
        <v>能登島Ｂ</v>
      </c>
      <c r="Q80" s="302" t="str">
        <f>IF(COUNTIF($N$16:$N$71,VALUE($A80&amp;Q$76&amp;1))=0,"",IF(COUNTIF($N$16:$N$71,VALUE($A80&amp;Q$76&amp;1))=1,INDEX($N$16:$W$71,MATCH(VALUE($A80&amp;Q$76&amp;1),$N$16:$N$71,0),3),"NG"))</f>
        <v>⑥</v>
      </c>
      <c r="R80" s="301">
        <f>IF(Q80="","",IF(Q80="NG","",INDEX($N$16:$W$71,MATCH(VALUE($A80&amp;Q$76&amp;1),$N$16:$N$71,0),4)))</f>
        <v>42518</v>
      </c>
      <c r="S80" s="219" t="str">
        <f>IF(R80="","",IF(R80="NG","",INDEX($N$16:$W$71,MATCH(VALUE($A80&amp;Q$76&amp;1),$N$16:$N$71,0),7)))</f>
        <v>金沢市民</v>
      </c>
      <c r="T80" s="302" t="str">
        <f>IF(COUNTIF($N$16:$N$71,VALUE($A80&amp;T$76&amp;1))=0,"",IF(COUNTIF($N$16:$N$71,VALUE($A80&amp;T$76&amp;1))=1,INDEX($N$16:$W$71,MATCH(VALUE($A80&amp;T$76&amp;1),$N$16:$N$71,0),3),"NG"))</f>
        <v>③</v>
      </c>
      <c r="U80" s="301">
        <f>IF(T80="","",IF(T80="NG","",INDEX($N$16:$W$71,MATCH(VALUE($A80&amp;T$76&amp;1),$N$16:$N$71,0),4)))</f>
        <v>42498</v>
      </c>
      <c r="V80" s="219" t="str">
        <f>IF(U80="","",IF(U80="NG","",INDEX($N$16:$W$71,MATCH(VALUE($A80&amp;T$76&amp;1),$N$16:$N$71,0),7)))</f>
        <v>和倉Ａ</v>
      </c>
      <c r="W80" s="302" t="str">
        <f>IF(COUNTIF($N$16:$N$71,VALUE($A80&amp;W$76&amp;1))=0,"",IF(COUNTIF($N$16:$N$71,VALUE($A80&amp;W$76&amp;1))=1,INDEX($N$16:$W$71,MATCH(VALUE($A80&amp;W$76&amp;1),$N$16:$N$71,0),3),"NG"))</f>
        <v>①</v>
      </c>
      <c r="X80" s="301">
        <f>IF(W80="","",IF(W80="NG","",INDEX($N$16:$W$71,MATCH(VALUE($A80&amp;W$76&amp;1),$N$16:$N$71,0),4)))</f>
        <v>42489</v>
      </c>
      <c r="Y80" s="219" t="str">
        <f>IF(X80="","",IF(X80="NG","",INDEX($N$16:$W$71,MATCH(VALUE($A80&amp;W$76&amp;1),$N$16:$N$71,0),7)))</f>
        <v>能登島Ｂ</v>
      </c>
      <c r="Z80" s="302" t="str">
        <f>IF(COUNTIF($N$16:$N$71,VALUE($A80&amp;Z$76&amp;1))=0,"",IF(COUNTIF($N$16:$N$71,VALUE($A80&amp;Z$76&amp;1))=1,INDEX($N$16:$W$71,MATCH(VALUE($A80&amp;Z$76&amp;1),$N$16:$N$71,0),3),"NG"))</f>
        <v>④</v>
      </c>
      <c r="AA80" s="301">
        <f>IF(Z80="","",IF(Z80="NG","",INDEX($N$16:$W$71,MATCH(VALUE($A80&amp;Z$76&amp;1),$N$16:$N$71,0),4)))</f>
        <v>42504</v>
      </c>
      <c r="AB80" s="219" t="str">
        <f>IF(AA80="","",IF(AA80="NG","",INDEX($N$16:$W$71,MATCH(VALUE($A80&amp;Z$76&amp;1),$N$16:$N$71,0),7)))</f>
        <v>金沢交流</v>
      </c>
    </row>
    <row r="81" spans="1:28" x14ac:dyDescent="0.25">
      <c r="B81" s="441"/>
      <c r="C81" s="442"/>
      <c r="D81" s="443"/>
      <c r="E81" s="303" t="str">
        <f t="shared" si="19"/>
        <v>②</v>
      </c>
      <c r="F81" s="304">
        <f t="shared" si="19"/>
        <v>42624</v>
      </c>
      <c r="G81" s="253" t="str">
        <f t="shared" si="19"/>
        <v>能登島Ｂ</v>
      </c>
      <c r="H81" s="417"/>
      <c r="I81" s="418"/>
      <c r="J81" s="419"/>
      <c r="K81" s="253" t="str">
        <f>IF(COUNTIF($N$16:$N$71,VALUE($A80&amp;K$76&amp;2))=0,"",IF(COUNTIF($N$16:$N$71,VALUE($A80&amp;K$76&amp;2))=1,INDEX($N$16:$W$71,MATCH(VALUE($A80&amp;K$76&amp;2),$N$16:$N$71,0),3),"NG"))</f>
        <v>②</v>
      </c>
      <c r="L81" s="304">
        <f>IF(K81="","",IF(K81="NG","",INDEX($N$16:$W$71,MATCH(VALUE($A80&amp;K$76&amp;2),$N$16:$N$71,0),4)))</f>
        <v>42677</v>
      </c>
      <c r="M81" s="217" t="str">
        <f>IF(L81="","",IF(L81="NG","",INDEX($N$16:$W$71,MATCH(VALUE($A80&amp;K$76&amp;2),$N$16:$N$71,0),7)))</f>
        <v>星稜ｻｯｶｰ場</v>
      </c>
      <c r="N81" s="305" t="str">
        <f>IF(COUNTIF($N$16:$N$71,VALUE($A80&amp;N$76&amp;2))=0,"",IF(COUNTIF($N$16:$N$71,VALUE($A80&amp;N$76&amp;2))=1,INDEX($N$16:$W$71,MATCH(VALUE($A80&amp;N$76&amp;2),$N$16:$N$71,0),3),"NG"))</f>
        <v>⑨</v>
      </c>
      <c r="O81" s="304">
        <f>IF(N81="","",IF(N81="NG","",INDEX($N$16:$W$71,MATCH(VALUE($A80&amp;N$76&amp;2),$N$16:$N$71,0),4)))</f>
        <v>42581</v>
      </c>
      <c r="P81" s="217" t="str">
        <f>IF(O81="","",IF(O81="NG","",INDEX($N$16:$W$71,MATCH(VALUE($A80&amp;N$76&amp;2),$N$16:$N$71,0),7)))</f>
        <v>小松市民</v>
      </c>
      <c r="Q81" s="305" t="str">
        <f>IF(COUNTIF($N$16:$N$71,VALUE($A80&amp;Q$76&amp;2))=0,"",IF(COUNTIF($N$16:$N$71,VALUE($A80&amp;Q$76&amp;2))=1,INDEX($N$16:$W$71,MATCH(VALUE($A80&amp;Q$76&amp;2),$N$16:$N$71,0),3),"NG"))</f>
        <v>②</v>
      </c>
      <c r="R81" s="304">
        <f>IF(Q81="","",IF(Q81="NG","",INDEX($N$16:$W$71,MATCH(VALUE($A80&amp;Q$76&amp;2),$N$16:$N$71,0),4)))</f>
        <v>42658</v>
      </c>
      <c r="S81" s="217" t="str">
        <f>IF(R81="","",IF(R81="NG","",INDEX($N$16:$W$71,MATCH(VALUE($A80&amp;Q$76&amp;2),$N$16:$N$71,0),7)))</f>
        <v>金沢市民</v>
      </c>
      <c r="T81" s="305" t="str">
        <f>IF(COUNTIF($N$16:$N$71,VALUE($A80&amp;T$76&amp;2))=0,"",IF(COUNTIF($N$16:$N$71,VALUE($A80&amp;T$76&amp;2))=1,INDEX($N$16:$W$71,MATCH(VALUE($A80&amp;T$76&amp;2),$N$16:$N$71,0),3),"NG"))</f>
        <v>②</v>
      </c>
      <c r="U81" s="304">
        <f>IF(T81="","",IF(T81="NG","",INDEX($N$16:$W$71,MATCH(VALUE($A80&amp;T$76&amp;2),$N$16:$N$71,0),4)))</f>
        <v>42673</v>
      </c>
      <c r="V81" s="217" t="str">
        <f>IF(U81="","",IF(U81="NG","",INDEX($N$16:$W$71,MATCH(VALUE($A80&amp;T$76&amp;2),$N$16:$N$71,0),7)))</f>
        <v>星稜ｻｯｶｰ場</v>
      </c>
      <c r="W81" s="305" t="str">
        <f>IF(COUNTIF($N$16:$N$71,VALUE($A80&amp;W$76&amp;2))=0,"",IF(COUNTIF($N$16:$N$71,VALUE($A80&amp;W$76&amp;2))=1,INDEX($N$16:$W$71,MATCH(VALUE($A80&amp;W$76&amp;2),$N$16:$N$71,0),3),"NG"))</f>
        <v>②</v>
      </c>
      <c r="X81" s="304">
        <f>IF(W81="","",IF(W81="NG","",INDEX($N$16:$W$71,MATCH(VALUE($A80&amp;W$76&amp;2),$N$16:$N$71,0),4)))</f>
        <v>42644</v>
      </c>
      <c r="Y81" s="217" t="str">
        <f>IF(X81="","",IF(X81="NG","",INDEX($N$16:$W$71,MATCH(VALUE($A80&amp;W$76&amp;2),$N$16:$N$71,0),7)))</f>
        <v>金沢市民</v>
      </c>
      <c r="Z81" s="305" t="str">
        <f>IF(COUNTIF($N$16:$N$71,VALUE($A80&amp;Z$76&amp;2))=0,"",IF(COUNTIF($N$16:$N$71,VALUE($A80&amp;Z$76&amp;2))=1,INDEX($N$16:$W$71,MATCH(VALUE($A80&amp;Z$76&amp;2),$N$16:$N$71,0),3),"NG"))</f>
        <v>⑧</v>
      </c>
      <c r="AA81" s="304">
        <f>IF(Z81="","",IF(Z81="NG","",INDEX($N$16:$W$71,MATCH(VALUE($A80&amp;Z$76&amp;2),$N$16:$N$71,0),4)))</f>
        <v>42574</v>
      </c>
      <c r="AB81" s="217" t="str">
        <f>IF(AA81="","",IF(AA81="NG","",INDEX($N$16:$W$71,MATCH(VALUE($A80&amp;Z$76&amp;2),$N$16:$N$71,0),7)))</f>
        <v>北陸大FPB</v>
      </c>
    </row>
    <row r="82" spans="1:28" x14ac:dyDescent="0.25">
      <c r="A82">
        <v>3</v>
      </c>
      <c r="B82" s="441" t="str">
        <f>IF(K77="",A82,K77)</f>
        <v>星稜中学校</v>
      </c>
      <c r="C82" s="442"/>
      <c r="D82" s="443"/>
      <c r="E82" s="306" t="str">
        <f t="shared" ref="E82:G83" si="20">IF(K78="","",K78)</f>
        <v>⑥</v>
      </c>
      <c r="F82" s="307">
        <f t="shared" si="20"/>
        <v>42526</v>
      </c>
      <c r="G82" s="308" t="str">
        <f t="shared" si="20"/>
        <v>星稜ｻｯｶｰ場</v>
      </c>
      <c r="H82" s="309" t="str">
        <f t="shared" ref="H82:J83" si="21">IF(K80="","",K80)</f>
        <v>⑦</v>
      </c>
      <c r="I82" s="307">
        <f t="shared" si="21"/>
        <v>42546</v>
      </c>
      <c r="J82" s="310" t="str">
        <f t="shared" si="21"/>
        <v>能登島Ｂ</v>
      </c>
      <c r="K82" s="453"/>
      <c r="L82" s="453"/>
      <c r="M82" s="454"/>
      <c r="N82" s="311" t="str">
        <f>IF(COUNTIF($N$16:$N$71,VALUE($A82&amp;N$76&amp;1))=0,"",IF(COUNTIF($N$16:$N$71,VALUE($A82&amp;N$76&amp;1))=1,INDEX($N$16:$W$71,MATCH(VALUE($A82&amp;N$76&amp;1),$N$16:$N$71,0),3),"NG"))</f>
        <v>①</v>
      </c>
      <c r="O82" s="312">
        <f>IF(N82="","",IF(N82="NG","",INDEX($N$16:$W$71,MATCH(VALUE($A82&amp;N$76&amp;1),$N$16:$N$71,0),4)))</f>
        <v>42489</v>
      </c>
      <c r="P82" s="220" t="str">
        <f>IF(O82="","",IF(O82="NG","",INDEX($N$16:$W$71,MATCH(VALUE($A82&amp;N$76&amp;1),$N$16:$N$71,0),7)))</f>
        <v>星稜ｻｯｶｰ場</v>
      </c>
      <c r="Q82" s="311" t="str">
        <f>IF(COUNTIF($N$16:$N$71,VALUE($A82&amp;Q$76&amp;1))=0,"",IF(COUNTIF($N$16:$N$71,VALUE($A82&amp;Q$76&amp;1))=1,INDEX($N$16:$W$71,MATCH(VALUE($A82&amp;Q$76&amp;1),$N$16:$N$71,0),3),"NG"))</f>
        <v>③</v>
      </c>
      <c r="R82" s="312">
        <f>IF(Q82="","",IF(Q82="NG","",INDEX($N$16:$W$71,MATCH(VALUE($A82&amp;Q$76&amp;1),$N$16:$N$71,0),4)))</f>
        <v>42498</v>
      </c>
      <c r="S82" s="220" t="str">
        <f>IF(R82="","",IF(R82="NG","",INDEX($N$16:$W$71,MATCH(VALUE($A82&amp;Q$76&amp;1),$N$16:$N$71,0),7)))</f>
        <v>金沢交流</v>
      </c>
      <c r="T82" s="311" t="str">
        <f>IF(COUNTIF($N$16:$N$71,VALUE($A82&amp;T$76&amp;1))=0,"",IF(COUNTIF($N$16:$N$71,VALUE($A82&amp;T$76&amp;1))=1,INDEX($N$16:$W$71,MATCH(VALUE($A82&amp;T$76&amp;1),$N$16:$N$71,0),3),"NG"))</f>
        <v>⑥</v>
      </c>
      <c r="U82" s="312">
        <f>IF(T82="","",IF(T82="NG","",INDEX($N$16:$W$71,MATCH(VALUE($A82&amp;T$76&amp;1),$N$16:$N$71,0),4)))</f>
        <v>42519</v>
      </c>
      <c r="V82" s="220" t="str">
        <f>IF(U82="","",IF(U82="NG","",INDEX($N$16:$W$71,MATCH(VALUE($A82&amp;T$76&amp;1),$N$16:$N$71,0),7)))</f>
        <v>星稜ｻｯｶｰ場</v>
      </c>
      <c r="W82" s="311" t="str">
        <f>IF(COUNTIF($N$16:$N$71,VALUE($A82&amp;W$76&amp;1))=0,"",IF(COUNTIF($N$16:$N$71,VALUE($A82&amp;W$76&amp;1))=1,INDEX($N$16:$W$71,MATCH(VALUE($A82&amp;W$76&amp;1),$N$16:$N$71,0),3),"NG"))</f>
        <v>②</v>
      </c>
      <c r="X82" s="312">
        <f>IF(W82="","",IF(W82="NG","",INDEX($N$16:$W$71,MATCH(VALUE($A82&amp;W$76&amp;1),$N$16:$N$71,0),4)))</f>
        <v>42493</v>
      </c>
      <c r="Y82" s="220" t="str">
        <f>IF(X82="","",IF(X82="NG","",INDEX($N$16:$W$71,MATCH(VALUE($A82&amp;W$76&amp;1),$N$16:$N$71,0),7)))</f>
        <v>金沢交流</v>
      </c>
      <c r="Z82" s="311" t="str">
        <f>IF(COUNTIF($N$16:$N$71,VALUE($A82&amp;Z$76&amp;1))=0,"",IF(COUNTIF($N$16:$N$71,VALUE($A82&amp;Z$76&amp;1))=1,INDEX($N$16:$W$71,MATCH(VALUE($A82&amp;Z$76&amp;1),$N$16:$N$71,0),3),"NG"))</f>
        <v>⑦</v>
      </c>
      <c r="AA82" s="312">
        <f>IF(Z82="","",IF(Z82="NG","",INDEX($N$16:$W$71,MATCH(VALUE($A82&amp;Z$76&amp;1),$N$16:$N$71,0),4)))</f>
        <v>42560</v>
      </c>
      <c r="AB82" s="220" t="str">
        <f>IF(AA82="","",IF(AA82="NG","",INDEX($N$16:$W$71,MATCH(VALUE($A82&amp;Z$76&amp;1),$N$16:$N$71,0),7)))</f>
        <v>星稜ｻｯｶｰ場</v>
      </c>
    </row>
    <row r="83" spans="1:28" x14ac:dyDescent="0.25">
      <c r="B83" s="441"/>
      <c r="C83" s="442"/>
      <c r="D83" s="443"/>
      <c r="E83" s="303" t="str">
        <f t="shared" si="20"/>
        <v>②</v>
      </c>
      <c r="F83" s="304">
        <f t="shared" si="20"/>
        <v>42673</v>
      </c>
      <c r="G83" s="253" t="str">
        <f t="shared" si="20"/>
        <v>星稜ｻｯｶｰ場</v>
      </c>
      <c r="H83" s="305" t="str">
        <f t="shared" si="21"/>
        <v>②</v>
      </c>
      <c r="I83" s="304">
        <f t="shared" si="21"/>
        <v>42677</v>
      </c>
      <c r="J83" s="217" t="str">
        <f t="shared" si="21"/>
        <v>星稜ｻｯｶｰ場</v>
      </c>
      <c r="K83" s="418"/>
      <c r="L83" s="418"/>
      <c r="M83" s="419"/>
      <c r="N83" s="305" t="str">
        <f>IF(COUNTIF($N$16:$N$71,VALUE($A82&amp;N$76&amp;2))=0,"",IF(COUNTIF($N$16:$N$71,VALUE($A82&amp;N$76&amp;2))=1,INDEX($N$16:$W$71,MATCH(VALUE($A82&amp;N$76&amp;2),$N$16:$N$71,0),3),"NG"))</f>
        <v>②</v>
      </c>
      <c r="O83" s="304">
        <f>IF(N83="","",IF(N83="NG","",INDEX($N$16:$W$71,MATCH(VALUE($A82&amp;N$76&amp;2),$N$16:$N$71,0),4)))</f>
        <v>42624</v>
      </c>
      <c r="P83" s="217" t="str">
        <f>IF(O83="","",IF(O83="NG","",INDEX($N$16:$W$71,MATCH(VALUE($A82&amp;N$76&amp;2),$N$16:$N$71,0),7)))</f>
        <v>加賀陸上</v>
      </c>
      <c r="Q83" s="305" t="str">
        <f>IF(COUNTIF($N$16:$N$71,VALUE($A82&amp;Q$76&amp;2))=0,"",IF(COUNTIF($N$16:$N$71,VALUE($A82&amp;Q$76&amp;2))=1,INDEX($N$16:$W$71,MATCH(VALUE($A82&amp;Q$76&amp;2),$N$16:$N$71,0),3),"NG"))</f>
        <v>②</v>
      </c>
      <c r="R83" s="304">
        <f>IF(Q83="","",IF(Q83="NG","",INDEX($N$16:$W$71,MATCH(VALUE($A82&amp;Q$76&amp;2),$N$16:$N$71,0),4)))</f>
        <v>42645</v>
      </c>
      <c r="S83" s="217" t="str">
        <f>IF(R83="","",IF(R83="NG","",INDEX($N$16:$W$71,MATCH(VALUE($A82&amp;Q$76&amp;2),$N$16:$N$71,0),7)))</f>
        <v>かほく市S</v>
      </c>
      <c r="T83" s="305" t="str">
        <f>IF(COUNTIF($N$16:$N$71,VALUE($A82&amp;T$76&amp;2))=0,"",IF(COUNTIF($N$16:$N$71,VALUE($A82&amp;T$76&amp;2))=1,INDEX($N$16:$W$71,MATCH(VALUE($A82&amp;T$76&amp;2),$N$16:$N$71,0),3),"NG"))</f>
        <v>⑧</v>
      </c>
      <c r="U83" s="304">
        <f>IF(T83="","",IF(T83="NG","",INDEX($N$16:$W$71,MATCH(VALUE($A82&amp;T$76&amp;2),$N$16:$N$71,0),4)))</f>
        <v>42574</v>
      </c>
      <c r="V83" s="217" t="str">
        <f>IF(U83="","",IF(U83="NG","",INDEX($N$16:$W$71,MATCH(VALUE($A82&amp;T$76&amp;2),$N$16:$N$71,0),7)))</f>
        <v>北陸大FPB</v>
      </c>
      <c r="W83" s="305" t="str">
        <f>IF(COUNTIF($N$16:$N$71,VALUE($A82&amp;W$76&amp;2))=0,"",IF(COUNTIF($N$16:$N$71,VALUE($A82&amp;W$76&amp;2))=1,INDEX($N$16:$W$71,MATCH(VALUE($A82&amp;W$76&amp;2),$N$16:$N$71,0),3),"NG"))</f>
        <v>②</v>
      </c>
      <c r="X83" s="304">
        <f>IF(W83="","",IF(W83="NG","",INDEX($N$16:$W$71,MATCH(VALUE($A82&amp;W$76&amp;2),$N$16:$N$71,0),4)))</f>
        <v>42659</v>
      </c>
      <c r="Y83" s="217" t="str">
        <f>IF(X83="","",IF(X83="NG","",INDEX($N$16:$W$71,MATCH(VALUE($A82&amp;W$76&amp;2),$N$16:$N$71,0),7)))</f>
        <v>かほく市S</v>
      </c>
      <c r="Z83" s="305" t="str">
        <f>IF(COUNTIF($N$16:$N$71,VALUE($A82&amp;Z$76&amp;2))=0,"",IF(COUNTIF($N$16:$N$71,VALUE($A82&amp;Z$76&amp;2))=1,INDEX($N$16:$W$71,MATCH(VALUE($A82&amp;Z$76&amp;2),$N$16:$N$71,0),3),"NG"))</f>
        <v>②</v>
      </c>
      <c r="AA83" s="304">
        <f>IF(Z83="","",IF(Z83="NG","",INDEX($N$16:$W$71,MATCH(VALUE($A82&amp;Z$76&amp;2),$N$16:$N$71,0),4)))</f>
        <v>42617</v>
      </c>
      <c r="AB83" s="217" t="str">
        <f>IF(AA83="","",IF(AA83="NG","",INDEX($N$16:$W$71,MATCH(VALUE($A82&amp;Z$76&amp;2),$N$16:$N$71,0),7)))</f>
        <v>小松市民</v>
      </c>
    </row>
    <row r="84" spans="1:28" x14ac:dyDescent="0.25">
      <c r="A84">
        <v>4</v>
      </c>
      <c r="B84" s="441" t="str">
        <f>IF(N77="",A84,N77)</f>
        <v>Riopedra
加賀FC</v>
      </c>
      <c r="C84" s="442"/>
      <c r="D84" s="443"/>
      <c r="E84" s="298" t="str">
        <f t="shared" ref="E84:G85" si="22">IF(N78="","",N78)</f>
        <v>③</v>
      </c>
      <c r="F84" s="299">
        <f t="shared" si="22"/>
        <v>42497</v>
      </c>
      <c r="G84" s="300" t="str">
        <f t="shared" si="22"/>
        <v>金沢交流</v>
      </c>
      <c r="H84" s="313" t="str">
        <f t="shared" ref="H84:J85" si="23">IF(N80="","",N80)</f>
        <v>②</v>
      </c>
      <c r="I84" s="299">
        <f t="shared" si="23"/>
        <v>42491</v>
      </c>
      <c r="J84" s="314" t="str">
        <f t="shared" si="23"/>
        <v>能登島Ｂ</v>
      </c>
      <c r="K84" s="300" t="str">
        <f t="shared" ref="K84:M85" si="24">IF(N82="","",N82)</f>
        <v>①</v>
      </c>
      <c r="L84" s="299">
        <f t="shared" si="24"/>
        <v>42489</v>
      </c>
      <c r="M84" s="314" t="str">
        <f t="shared" si="24"/>
        <v>星稜ｻｯｶｰ場</v>
      </c>
      <c r="N84" s="414"/>
      <c r="O84" s="415"/>
      <c r="P84" s="416"/>
      <c r="Q84" s="302" t="str">
        <f>IF(COUNTIF($N$16:$N$71,VALUE($A84&amp;Q$76&amp;1))=0,"",IF(COUNTIF($N$16:$N$71,VALUE($A84&amp;Q$76&amp;1))=1,INDEX($N$16:$W$71,MATCH(VALUE($A84&amp;Q$76&amp;1),$N$16:$N$71,0),3),"NG"))</f>
        <v>⑦</v>
      </c>
      <c r="R84" s="301">
        <f>IF(Q84="","",IF(Q84="NG","",INDEX($N$16:$W$71,MATCH(VALUE($A84&amp;Q$76&amp;1),$N$16:$N$71,0),4)))</f>
        <v>42546</v>
      </c>
      <c r="S84" s="219" t="str">
        <f>IF(R84="","",IF(R84="NG","",INDEX($N$16:$W$71,MATCH(VALUE($A84&amp;Q$76&amp;1),$N$16:$N$71,0),7)))</f>
        <v>加賀陸上</v>
      </c>
      <c r="T84" s="302" t="str">
        <f>IF(COUNTIF($N$16:$N$71,VALUE($A84&amp;T$76&amp;1))=0,"",IF(COUNTIF($N$16:$N$71,VALUE($A84&amp;T$76&amp;1))=1,INDEX($N$16:$W$71,MATCH(VALUE($A84&amp;T$76&amp;1),$N$16:$N$71,0),3),"NG"))</f>
        <v>⑦</v>
      </c>
      <c r="U84" s="301">
        <f>IF(T84="","",IF(T84="NG","",INDEX($N$16:$W$71,MATCH(VALUE($A84&amp;T$76&amp;1),$N$16:$N$71,0),4)))</f>
        <v>42554</v>
      </c>
      <c r="V84" s="219" t="str">
        <f>IF(U84="","",IF(U84="NG","",INDEX($N$16:$W$71,MATCH(VALUE($A84&amp;T$76&amp;1),$N$16:$N$71,0),7)))</f>
        <v>加賀陸上</v>
      </c>
      <c r="W84" s="302" t="str">
        <f>IF(COUNTIF($N$16:$N$71,VALUE($A84&amp;W$76&amp;1))=0,"",IF(COUNTIF($N$16:$N$71,VALUE($A84&amp;W$76&amp;1))=1,INDEX($N$16:$W$71,MATCH(VALUE($A84&amp;W$76&amp;1),$N$16:$N$71,0),3),"NG"))</f>
        <v>④</v>
      </c>
      <c r="X84" s="301">
        <f>IF(W84="","",IF(W84="NG","",INDEX($N$16:$W$71,MATCH(VALUE($A84&amp;W$76&amp;1),$N$16:$N$71,0),4)))</f>
        <v>42505</v>
      </c>
      <c r="Y84" s="219" t="str">
        <f>IF(X84="","",IF(X84="NG","",INDEX($N$16:$W$71,MATCH(VALUE($A84&amp;W$76&amp;1),$N$16:$N$71,0),7)))</f>
        <v>かほく市S</v>
      </c>
      <c r="Z84" s="302" t="str">
        <f>IF(COUNTIF($N$16:$N$71,VALUE($A84&amp;Z$76&amp;1))=0,"",IF(COUNTIF($N$16:$N$71,VALUE($A84&amp;Z$76&amp;1))=1,INDEX($N$16:$W$71,MATCH(VALUE($A84&amp;Z$76&amp;1),$N$16:$N$71,0),3),"NG"))</f>
        <v>⑤</v>
      </c>
      <c r="AA84" s="301">
        <f>IF(Z84="","",IF(Z84="NG","",INDEX($N$16:$W$71,MATCH(VALUE($A84&amp;Z$76&amp;1),$N$16:$N$71,0),4)))</f>
        <v>42512</v>
      </c>
      <c r="AB84" s="219" t="str">
        <f>IF(AA84="","",IF(AA84="NG","",INDEX($N$16:$W$71,MATCH(VALUE($A84&amp;Z$76&amp;1),$N$16:$N$71,0),7)))</f>
        <v>加賀陸上</v>
      </c>
    </row>
    <row r="85" spans="1:28" x14ac:dyDescent="0.25">
      <c r="B85" s="441"/>
      <c r="C85" s="442"/>
      <c r="D85" s="443"/>
      <c r="E85" s="303" t="str">
        <f t="shared" si="22"/>
        <v>②</v>
      </c>
      <c r="F85" s="304">
        <f t="shared" si="22"/>
        <v>42644</v>
      </c>
      <c r="G85" s="253" t="str">
        <f t="shared" si="22"/>
        <v>金沢市民</v>
      </c>
      <c r="H85" s="305" t="str">
        <f t="shared" si="23"/>
        <v>⑨</v>
      </c>
      <c r="I85" s="304">
        <f t="shared" si="23"/>
        <v>42581</v>
      </c>
      <c r="J85" s="217" t="str">
        <f t="shared" si="23"/>
        <v>小松市民</v>
      </c>
      <c r="K85" s="253" t="str">
        <f t="shared" si="24"/>
        <v>②</v>
      </c>
      <c r="L85" s="304">
        <f t="shared" si="24"/>
        <v>42624</v>
      </c>
      <c r="M85" s="217" t="str">
        <f t="shared" si="24"/>
        <v>加賀陸上</v>
      </c>
      <c r="N85" s="417"/>
      <c r="O85" s="418"/>
      <c r="P85" s="419"/>
      <c r="Q85" s="305" t="str">
        <f>IF(COUNTIF($N$16:$N$71,VALUE($A84&amp;Q$76&amp;2))=0,"",IF(COUNTIF($N$16:$N$71,VALUE($A84&amp;Q$76&amp;2))=1,INDEX($N$16:$W$71,MATCH(VALUE($A84&amp;Q$76&amp;2),$N$16:$N$71,0),3),"NG"))</f>
        <v>②</v>
      </c>
      <c r="R85" s="304">
        <f>IF(Q85="","",IF(Q85="NG","",INDEX($N$16:$W$71,MATCH(VALUE($A84&amp;Q$76&amp;2),$N$16:$N$71,0),4)))</f>
        <v>42673</v>
      </c>
      <c r="S85" s="217" t="str">
        <f>IF(R85="","",IF(R85="NG","",INDEX($N$16:$W$71,MATCH(VALUE($A84&amp;Q$76&amp;2),$N$16:$N$71,0),7)))</f>
        <v>小松市民</v>
      </c>
      <c r="T85" s="305" t="str">
        <f>IF(COUNTIF($N$16:$N$71,VALUE($A84&amp;T$76&amp;2))=0,"",IF(COUNTIF($N$16:$N$71,VALUE($A84&amp;T$76&amp;2))=1,INDEX($N$16:$W$71,MATCH(VALUE($A84&amp;T$76&amp;2),$N$16:$N$71,0),3),"NG"))</f>
        <v>②</v>
      </c>
      <c r="U85" s="304">
        <f>IF(T85="","",IF(T85="NG","",INDEX($N$16:$W$71,MATCH(VALUE($A84&amp;T$76&amp;2),$N$16:$N$71,0),4)))</f>
        <v>42659</v>
      </c>
      <c r="V85" s="217" t="str">
        <f>IF(U85="","",IF(U85="NG","",INDEX($N$16:$W$71,MATCH(VALUE($A84&amp;T$76&amp;2),$N$16:$N$71,0),7)))</f>
        <v>かほく市S</v>
      </c>
      <c r="W85" s="305" t="str">
        <f>IF(COUNTIF($N$16:$N$71,VALUE($A84&amp;W$76&amp;2))=0,"",IF(COUNTIF($N$16:$N$71,VALUE($A84&amp;W$76&amp;2))=1,INDEX($N$16:$W$71,MATCH(VALUE($A84&amp;W$76&amp;2),$N$16:$N$71,0),3),"NG"))</f>
        <v>②</v>
      </c>
      <c r="X85" s="304">
        <f>IF(W85="","",IF(W85="NG","",INDEX($N$16:$W$71,MATCH(VALUE($A84&amp;W$76&amp;2),$N$16:$N$71,0),4)))</f>
        <v>42677</v>
      </c>
      <c r="Y85" s="217" t="str">
        <f>IF(X85="","",IF(X85="NG","",INDEX($N$16:$W$71,MATCH(VALUE($A84&amp;W$76&amp;2),$N$16:$N$71,0),7)))</f>
        <v>金沢市民</v>
      </c>
      <c r="Z85" s="305" t="str">
        <f>IF(COUNTIF($N$16:$N$71,VALUE($A84&amp;Z$76&amp;2))=0,"",IF(COUNTIF($N$16:$N$71,VALUE($A84&amp;Z$76&amp;2))=1,INDEX($N$16:$W$71,MATCH(VALUE($A84&amp;Z$76&amp;2),$N$16:$N$71,0),3),"NG"))</f>
        <v>⑨</v>
      </c>
      <c r="AA85" s="304">
        <f>IF(Z85="","",IF(Z85="NG","",INDEX($N$16:$W$71,MATCH(VALUE($A84&amp;Z$76&amp;2),$N$16:$N$71,0),4)))</f>
        <v>42588</v>
      </c>
      <c r="AB85" s="217" t="str">
        <f>IF(AA85="","",IF(AA85="NG","",INDEX($N$16:$W$71,MATCH(VALUE($A84&amp;Z$76&amp;2),$N$16:$N$71,0),7)))</f>
        <v>金沢交流</v>
      </c>
    </row>
    <row r="86" spans="1:28" x14ac:dyDescent="0.25">
      <c r="A86">
        <v>5</v>
      </c>
      <c r="B86" s="441" t="str">
        <f>IF(Q77="",A86,Q77)</f>
        <v>FC小松
1st</v>
      </c>
      <c r="C86" s="442"/>
      <c r="D86" s="443"/>
      <c r="E86" s="298" t="str">
        <f t="shared" ref="E86:G87" si="25">IF(Q78="","",Q78)</f>
        <v>②</v>
      </c>
      <c r="F86" s="299">
        <f t="shared" si="25"/>
        <v>42493</v>
      </c>
      <c r="G86" s="300" t="str">
        <f t="shared" si="25"/>
        <v>金沢交流</v>
      </c>
      <c r="H86" s="313" t="str">
        <f t="shared" ref="H86:J87" si="26">IF(Q80="","",Q80)</f>
        <v>⑥</v>
      </c>
      <c r="I86" s="299">
        <f t="shared" si="26"/>
        <v>42518</v>
      </c>
      <c r="J86" s="314" t="str">
        <f t="shared" si="26"/>
        <v>金沢市民</v>
      </c>
      <c r="K86" s="300" t="str">
        <f t="shared" ref="K86:M87" si="27">IF(Q82="","",Q82)</f>
        <v>③</v>
      </c>
      <c r="L86" s="299">
        <f t="shared" si="27"/>
        <v>42498</v>
      </c>
      <c r="M86" s="300" t="str">
        <f t="shared" si="27"/>
        <v>金沢交流</v>
      </c>
      <c r="N86" s="313" t="str">
        <f t="shared" ref="N86:P87" si="28">IF(Q84="","",Q84)</f>
        <v>⑦</v>
      </c>
      <c r="O86" s="299">
        <f t="shared" si="28"/>
        <v>42546</v>
      </c>
      <c r="P86" s="314" t="str">
        <f t="shared" si="28"/>
        <v>加賀陸上</v>
      </c>
      <c r="Q86" s="415"/>
      <c r="R86" s="415"/>
      <c r="S86" s="416"/>
      <c r="T86" s="302" t="str">
        <f>IF(COUNTIF($N$16:$N$71,VALUE($A86&amp;T$76&amp;1))=0,"",IF(COUNTIF($N$16:$N$71,VALUE($A86&amp;T$76&amp;1))=1,INDEX($N$16:$W$71,MATCH(VALUE($A86&amp;T$76&amp;1),$N$16:$N$71,0),3),"NG"))</f>
        <v>①</v>
      </c>
      <c r="U86" s="301">
        <f>IF(T86="","",IF(T86="NG","",INDEX($N$16:$W$71,MATCH(VALUE($A86&amp;T$76&amp;1),$N$16:$N$71,0),4)))</f>
        <v>42489</v>
      </c>
      <c r="V86" s="219" t="str">
        <f>IF(U86="","",IF(U86="NG","",INDEX($N$16:$W$71,MATCH(VALUE($A86&amp;T$76&amp;1),$N$16:$N$71,0),7)))</f>
        <v>星稜ｻｯｶｰ場</v>
      </c>
      <c r="W86" s="302" t="str">
        <f>IF(COUNTIF($N$16:$N$71,VALUE($A86&amp;W$76&amp;1))=0,"",IF(COUNTIF($N$16:$N$71,VALUE($A86&amp;W$76&amp;1))=1,INDEX($N$16:$W$71,MATCH(VALUE($A86&amp;W$76&amp;1),$N$16:$N$71,0),3),"NG"))</f>
        <v>⑤</v>
      </c>
      <c r="X86" s="301">
        <f>IF(W86="","",IF(W86="NG","",INDEX($N$16:$W$71,MATCH(VALUE($A86&amp;W$76&amp;1),$N$16:$N$71,0),4)))</f>
        <v>42512</v>
      </c>
      <c r="Y86" s="219" t="str">
        <f>IF(X86="","",IF(X86="NG","",INDEX($N$16:$W$71,MATCH(VALUE($A86&amp;W$76&amp;1),$N$16:$N$71,0),7)))</f>
        <v>加賀陸上</v>
      </c>
      <c r="Z86" s="302" t="str">
        <f>IF(COUNTIF($N$16:$N$71,VALUE($A86&amp;Z$76&amp;1))=0,"",IF(COUNTIF($N$16:$N$71,VALUE($A86&amp;Z$76&amp;1))=1,INDEX($N$16:$W$71,MATCH(VALUE($A86&amp;Z$76&amp;1),$N$16:$N$71,0),3),"NG"))</f>
        <v>⑦</v>
      </c>
      <c r="AA86" s="301">
        <f>IF(Z86="","",IF(Z86="NG","",INDEX($N$16:$W$71,MATCH(VALUE($A86&amp;Z$76&amp;1),$N$16:$N$71,0),4)))</f>
        <v>42553</v>
      </c>
      <c r="AB86" s="219" t="str">
        <f>IF(AA86="","",IF(AA86="NG","",INDEX($N$16:$W$71,MATCH(VALUE($A86&amp;Z$76&amp;1),$N$16:$N$71,0),7)))</f>
        <v>金沢市民</v>
      </c>
    </row>
    <row r="87" spans="1:28" x14ac:dyDescent="0.25">
      <c r="B87" s="441"/>
      <c r="C87" s="442"/>
      <c r="D87" s="443"/>
      <c r="E87" s="303" t="str">
        <f t="shared" si="25"/>
        <v>⑨</v>
      </c>
      <c r="F87" s="304">
        <f t="shared" si="25"/>
        <v>42581</v>
      </c>
      <c r="G87" s="253" t="str">
        <f t="shared" si="25"/>
        <v>小松市民</v>
      </c>
      <c r="H87" s="305" t="str">
        <f t="shared" si="26"/>
        <v>②</v>
      </c>
      <c r="I87" s="304">
        <f t="shared" si="26"/>
        <v>42658</v>
      </c>
      <c r="J87" s="217" t="str">
        <f t="shared" si="26"/>
        <v>金沢市民</v>
      </c>
      <c r="K87" s="253" t="str">
        <f t="shared" si="27"/>
        <v>②</v>
      </c>
      <c r="L87" s="304">
        <f t="shared" si="27"/>
        <v>42645</v>
      </c>
      <c r="M87" s="253" t="str">
        <f t="shared" si="27"/>
        <v>かほく市S</v>
      </c>
      <c r="N87" s="305" t="str">
        <f t="shared" si="28"/>
        <v>②</v>
      </c>
      <c r="O87" s="304">
        <f t="shared" si="28"/>
        <v>42673</v>
      </c>
      <c r="P87" s="217" t="str">
        <f t="shared" si="28"/>
        <v>小松市民</v>
      </c>
      <c r="Q87" s="418"/>
      <c r="R87" s="418"/>
      <c r="S87" s="419"/>
      <c r="T87" s="305" t="str">
        <f>IF(COUNTIF($N$16:$N$71,VALUE($A86&amp;T$76&amp;2))=0,"",IF(COUNTIF($N$16:$N$71,VALUE($A86&amp;T$76&amp;2))=1,INDEX($N$16:$W$71,MATCH(VALUE($A86&amp;T$76&amp;2),$N$16:$N$71,0),3),"NG"))</f>
        <v>⑨</v>
      </c>
      <c r="U87" s="304">
        <f>IF(T87="","",IF(T87="NG","",INDEX($N$16:$W$71,MATCH(VALUE($A86&amp;T$76&amp;2),$N$16:$N$71,0),4)))</f>
        <v>42588</v>
      </c>
      <c r="V87" s="217" t="str">
        <f>IF(U87="","",IF(U87="NG","",INDEX($N$16:$W$71,MATCH(VALUE($A86&amp;T$76&amp;2),$N$16:$N$71,0),7)))</f>
        <v>金沢交流</v>
      </c>
      <c r="W87" s="305" t="str">
        <f>IF(COUNTIF($N$16:$N$71,VALUE($A86&amp;W$76&amp;2))=0,"",IF(COUNTIF($N$16:$N$71,VALUE($A86&amp;W$76&amp;2))=1,INDEX($N$16:$W$71,MATCH(VALUE($A86&amp;W$76&amp;2),$N$16:$N$71,0),3),"NG"))</f>
        <v>②</v>
      </c>
      <c r="X87" s="304">
        <f>IF(W87="","",IF(W87="NG","",INDEX($N$16:$W$71,MATCH(VALUE($A86&amp;W$76&amp;2),$N$16:$N$71,0),4)))</f>
        <v>42617</v>
      </c>
      <c r="Y87" s="217" t="str">
        <f>IF(X87="","",IF(X87="NG","",INDEX($N$16:$W$71,MATCH(VALUE($A86&amp;W$76&amp;2),$N$16:$N$71,0),7)))</f>
        <v>小松市民</v>
      </c>
      <c r="Z87" s="305" t="str">
        <f>IF(COUNTIF($N$16:$N$71,VALUE($A86&amp;Z$76&amp;2))=0,"",IF(COUNTIF($N$16:$N$71,VALUE($A86&amp;Z$76&amp;2))=1,INDEX($N$16:$W$71,MATCH(VALUE($A86&amp;Z$76&amp;2),$N$16:$N$71,0),3),"NG"))</f>
        <v>②</v>
      </c>
      <c r="AA87" s="304">
        <f>IF(Z87="","",IF(Z87="NG","",INDEX($N$16:$W$71,MATCH(VALUE($A86&amp;Z$76&amp;2),$N$16:$N$71,0),4)))</f>
        <v>42677</v>
      </c>
      <c r="AB87" s="217" t="str">
        <f>IF(AA87="","",IF(AA87="NG","",INDEX($N$16:$W$71,MATCH(VALUE($A86&amp;Z$76&amp;2),$N$16:$N$71,0),7)))</f>
        <v>星稜ｻｯｶｰ場</v>
      </c>
    </row>
    <row r="88" spans="1:28" x14ac:dyDescent="0.25">
      <c r="A88">
        <v>6</v>
      </c>
      <c r="B88" s="441" t="str">
        <f>IF(T77="",A88,T77)</f>
        <v>FC.
SOUTHERN
1st</v>
      </c>
      <c r="C88" s="442"/>
      <c r="D88" s="443"/>
      <c r="E88" s="298" t="str">
        <f t="shared" ref="E88:G89" si="29">IF(T78="","",T78)</f>
        <v>④</v>
      </c>
      <c r="F88" s="299">
        <f t="shared" si="29"/>
        <v>42504</v>
      </c>
      <c r="G88" s="300" t="str">
        <f t="shared" si="29"/>
        <v>金沢交流</v>
      </c>
      <c r="H88" s="313" t="str">
        <f t="shared" ref="H88:J89" si="30">IF(T80="","",T80)</f>
        <v>③</v>
      </c>
      <c r="I88" s="299">
        <f t="shared" si="30"/>
        <v>42498</v>
      </c>
      <c r="J88" s="314" t="str">
        <f t="shared" si="30"/>
        <v>和倉Ａ</v>
      </c>
      <c r="K88" s="300" t="str">
        <f t="shared" ref="K88:M89" si="31">IF(T82="","",T82)</f>
        <v>⑥</v>
      </c>
      <c r="L88" s="299">
        <f t="shared" si="31"/>
        <v>42519</v>
      </c>
      <c r="M88" s="300" t="str">
        <f t="shared" si="31"/>
        <v>星稜ｻｯｶｰ場</v>
      </c>
      <c r="N88" s="313" t="str">
        <f t="shared" ref="N88:P89" si="32">IF(T84="","",T84)</f>
        <v>⑦</v>
      </c>
      <c r="O88" s="299">
        <f t="shared" si="32"/>
        <v>42554</v>
      </c>
      <c r="P88" s="314" t="str">
        <f t="shared" si="32"/>
        <v>加賀陸上</v>
      </c>
      <c r="Q88" s="300" t="str">
        <f t="shared" ref="Q88:S89" si="33">IF(T86="","",T86)</f>
        <v>①</v>
      </c>
      <c r="R88" s="299">
        <f t="shared" si="33"/>
        <v>42489</v>
      </c>
      <c r="S88" s="314" t="str">
        <f t="shared" si="33"/>
        <v>星稜ｻｯｶｰ場</v>
      </c>
      <c r="T88" s="414"/>
      <c r="U88" s="415"/>
      <c r="V88" s="416"/>
      <c r="W88" s="302" t="str">
        <f>IF(COUNTIF($N$16:$N$71,VALUE($A88&amp;W$76&amp;1))=0,"",IF(COUNTIF($N$16:$N$71,VALUE($A88&amp;W$76&amp;1))=1,INDEX($N$16:$W$71,MATCH(VALUE($A88&amp;W$76&amp;1),$N$16:$N$71,0),3),"NG"))</f>
        <v>⑦</v>
      </c>
      <c r="X88" s="301">
        <f>IF(W88="","",IF(W88="NG","",INDEX($N$16:$W$71,MATCH(VALUE($A88&amp;W$76&amp;1),$N$16:$N$71,0),4)))</f>
        <v>42546</v>
      </c>
      <c r="Y88" s="219" t="str">
        <f>IF(X88="","",IF(X88="NG","",INDEX($N$16:$W$71,MATCH(VALUE($A88&amp;W$76&amp;1),$N$16:$N$71,0),7)))</f>
        <v>能登島Ｂ</v>
      </c>
      <c r="Z88" s="302" t="str">
        <f>IF(COUNTIF($N$16:$N$71,VALUE($A88&amp;Z$76&amp;1))=0,"",IF(COUNTIF($N$16:$N$71,VALUE($A88&amp;Z$76&amp;1))=1,INDEX($N$16:$W$71,MATCH(VALUE($A88&amp;Z$76&amp;1),$N$16:$N$71,0),3),"NG"))</f>
        <v>②</v>
      </c>
      <c r="AA88" s="301">
        <f>IF(Z88="","",IF(Z88="NG","",INDEX($N$16:$W$71,MATCH(VALUE($A88&amp;Z$76&amp;1),$N$16:$N$71,0),4)))</f>
        <v>42491</v>
      </c>
      <c r="AB88" s="219" t="str">
        <f>IF(AA88="","",IF(AA88="NG","",INDEX($N$16:$W$71,MATCH(VALUE($A88&amp;Z$76&amp;1),$N$16:$N$71,0),7)))</f>
        <v>能登島Ｂ</v>
      </c>
    </row>
    <row r="89" spans="1:28" x14ac:dyDescent="0.25">
      <c r="B89" s="441"/>
      <c r="C89" s="442"/>
      <c r="D89" s="443"/>
      <c r="E89" s="303" t="str">
        <f t="shared" si="29"/>
        <v>②</v>
      </c>
      <c r="F89" s="304">
        <f t="shared" si="29"/>
        <v>42677</v>
      </c>
      <c r="G89" s="253" t="str">
        <f t="shared" si="29"/>
        <v>金沢市民</v>
      </c>
      <c r="H89" s="305" t="str">
        <f t="shared" si="30"/>
        <v>②</v>
      </c>
      <c r="I89" s="304">
        <f t="shared" si="30"/>
        <v>42673</v>
      </c>
      <c r="J89" s="217" t="str">
        <f t="shared" si="30"/>
        <v>星稜ｻｯｶｰ場</v>
      </c>
      <c r="K89" s="253" t="str">
        <f t="shared" si="31"/>
        <v>⑧</v>
      </c>
      <c r="L89" s="304">
        <f t="shared" si="31"/>
        <v>42574</v>
      </c>
      <c r="M89" s="253" t="str">
        <f t="shared" si="31"/>
        <v>北陸大FPB</v>
      </c>
      <c r="N89" s="305" t="str">
        <f t="shared" si="32"/>
        <v>②</v>
      </c>
      <c r="O89" s="304">
        <f t="shared" si="32"/>
        <v>42659</v>
      </c>
      <c r="P89" s="217" t="str">
        <f t="shared" si="32"/>
        <v>かほく市S</v>
      </c>
      <c r="Q89" s="253" t="str">
        <f t="shared" si="33"/>
        <v>⑨</v>
      </c>
      <c r="R89" s="304">
        <f t="shared" si="33"/>
        <v>42588</v>
      </c>
      <c r="S89" s="217" t="str">
        <f t="shared" si="33"/>
        <v>金沢交流</v>
      </c>
      <c r="T89" s="417"/>
      <c r="U89" s="418"/>
      <c r="V89" s="419"/>
      <c r="W89" s="305" t="str">
        <f>IF(COUNTIF($N$16:$N$71,VALUE($A88&amp;W$76&amp;2))=0,"",IF(COUNTIF($N$16:$N$71,VALUE($A88&amp;W$76&amp;2))=1,INDEX($N$16:$W$71,MATCH(VALUE($A88&amp;W$76&amp;2),$N$16:$N$71,0),3),"NG"))</f>
        <v>⑨</v>
      </c>
      <c r="X89" s="304">
        <f>IF(W89="","",IF(W89="NG","",INDEX($N$16:$W$71,MATCH(VALUE($A88&amp;W$76&amp;2),$N$16:$N$71,0),4)))</f>
        <v>42581</v>
      </c>
      <c r="Y89" s="217" t="str">
        <f>IF(X89="","",IF(X89="NG","",INDEX($N$16:$W$71,MATCH(VALUE($A88&amp;W$76&amp;2),$N$16:$N$71,0),7)))</f>
        <v>金沢市民</v>
      </c>
      <c r="Z89" s="305" t="str">
        <f>IF(COUNTIF($N$16:$N$71,VALUE($A88&amp;Z$76&amp;2))=0,"",IF(COUNTIF($N$16:$N$71,VALUE($A88&amp;Z$76&amp;2))=1,INDEX($N$16:$W$71,MATCH(VALUE($A88&amp;Z$76&amp;2),$N$16:$N$71,0),3),"NG"))</f>
        <v>②</v>
      </c>
      <c r="AA89" s="304">
        <f>IF(Z89="","",IF(Z89="NG","",INDEX($N$16:$W$71,MATCH(VALUE($A88&amp;Z$76&amp;2),$N$16:$N$71,0),4)))</f>
        <v>42645</v>
      </c>
      <c r="AB89" s="217" t="str">
        <f>IF(AA89="","",IF(AA89="NG","",INDEX($N$16:$W$71,MATCH(VALUE($A88&amp;Z$76&amp;2),$N$16:$N$71,0),7)))</f>
        <v>かほく市S</v>
      </c>
    </row>
    <row r="90" spans="1:28" x14ac:dyDescent="0.25">
      <c r="A90">
        <v>7</v>
      </c>
      <c r="B90" s="441" t="str">
        <f>IF(W77="",A90,W77)</f>
        <v>ヘミニス
金沢FC
1st</v>
      </c>
      <c r="C90" s="442"/>
      <c r="D90" s="443"/>
      <c r="E90" s="298" t="str">
        <f t="shared" ref="E90:G91" si="34">IF(W78="","",W78)</f>
        <v>⑥</v>
      </c>
      <c r="F90" s="299">
        <f t="shared" si="34"/>
        <v>42518</v>
      </c>
      <c r="G90" s="300" t="str">
        <f t="shared" si="34"/>
        <v>金沢市民</v>
      </c>
      <c r="H90" s="313" t="str">
        <f t="shared" ref="H90:J91" si="35">IF(W80="","",W80)</f>
        <v>①</v>
      </c>
      <c r="I90" s="299">
        <f t="shared" si="35"/>
        <v>42489</v>
      </c>
      <c r="J90" s="314" t="str">
        <f t="shared" si="35"/>
        <v>能登島Ｂ</v>
      </c>
      <c r="K90" s="300" t="str">
        <f t="shared" ref="K90:M91" si="36">IF(W82="","",W82)</f>
        <v>②</v>
      </c>
      <c r="L90" s="299">
        <f t="shared" si="36"/>
        <v>42493</v>
      </c>
      <c r="M90" s="300" t="str">
        <f t="shared" si="36"/>
        <v>金沢交流</v>
      </c>
      <c r="N90" s="313" t="str">
        <f t="shared" ref="N90:P91" si="37">IF(W84="","",W84)</f>
        <v>④</v>
      </c>
      <c r="O90" s="299">
        <f t="shared" si="37"/>
        <v>42505</v>
      </c>
      <c r="P90" s="314" t="str">
        <f t="shared" si="37"/>
        <v>かほく市S</v>
      </c>
      <c r="Q90" s="300" t="str">
        <f t="shared" ref="Q90:S91" si="38">IF(W86="","",W86)</f>
        <v>⑤</v>
      </c>
      <c r="R90" s="299">
        <f t="shared" si="38"/>
        <v>42512</v>
      </c>
      <c r="S90" s="300" t="str">
        <f t="shared" si="38"/>
        <v>加賀陸上</v>
      </c>
      <c r="T90" s="313" t="str">
        <f t="shared" ref="T90:V91" si="39">IF(W88="","",W88)</f>
        <v>⑦</v>
      </c>
      <c r="U90" s="299">
        <f t="shared" si="39"/>
        <v>42546</v>
      </c>
      <c r="V90" s="314" t="str">
        <f t="shared" si="39"/>
        <v>能登島Ｂ</v>
      </c>
      <c r="W90" s="415"/>
      <c r="X90" s="415"/>
      <c r="Y90" s="416"/>
      <c r="Z90" s="302" t="str">
        <f>IF(COUNTIF($N$16:$N$71,VALUE($A90&amp;Z$76&amp;1))=0,"",IF(COUNTIF($N$16:$N$71,VALUE($A90&amp;Z$76&amp;1))=1,INDEX($N$16:$W$71,MATCH(VALUE($A90&amp;Z$76&amp;1),$N$16:$N$71,0),3),"NG"))</f>
        <v>③</v>
      </c>
      <c r="AA90" s="301">
        <f>IF(Z90="","",IF(Z90="NG","",INDEX($N$16:$W$71,MATCH(VALUE($A90&amp;Z$76&amp;1),$N$16:$N$71,0),4)))</f>
        <v>42498</v>
      </c>
      <c r="AB90" s="219" t="str">
        <f>IF(AA90="","",IF(AA90="NG","",INDEX($N$16:$W$71,MATCH(VALUE($A90&amp;Z$76&amp;1),$N$16:$N$71,0),7)))</f>
        <v>金沢交流</v>
      </c>
    </row>
    <row r="91" spans="1:28" x14ac:dyDescent="0.25">
      <c r="B91" s="441"/>
      <c r="C91" s="442"/>
      <c r="D91" s="443"/>
      <c r="E91" s="303" t="str">
        <f t="shared" si="34"/>
        <v>⑧</v>
      </c>
      <c r="F91" s="304">
        <f t="shared" si="34"/>
        <v>42574</v>
      </c>
      <c r="G91" s="253" t="str">
        <f t="shared" si="34"/>
        <v>北陸大FPB</v>
      </c>
      <c r="H91" s="305" t="str">
        <f t="shared" si="35"/>
        <v>②</v>
      </c>
      <c r="I91" s="304">
        <f t="shared" si="35"/>
        <v>42644</v>
      </c>
      <c r="J91" s="217" t="str">
        <f t="shared" si="35"/>
        <v>金沢市民</v>
      </c>
      <c r="K91" s="253" t="str">
        <f t="shared" si="36"/>
        <v>②</v>
      </c>
      <c r="L91" s="304">
        <f t="shared" si="36"/>
        <v>42659</v>
      </c>
      <c r="M91" s="253" t="str">
        <f t="shared" si="36"/>
        <v>かほく市S</v>
      </c>
      <c r="N91" s="305" t="str">
        <f t="shared" si="37"/>
        <v>②</v>
      </c>
      <c r="O91" s="304">
        <f t="shared" si="37"/>
        <v>42677</v>
      </c>
      <c r="P91" s="217" t="str">
        <f t="shared" si="37"/>
        <v>金沢市民</v>
      </c>
      <c r="Q91" s="253" t="str">
        <f t="shared" si="38"/>
        <v>②</v>
      </c>
      <c r="R91" s="304">
        <f t="shared" si="38"/>
        <v>42617</v>
      </c>
      <c r="S91" s="253" t="str">
        <f t="shared" si="38"/>
        <v>小松市民</v>
      </c>
      <c r="T91" s="305" t="str">
        <f t="shared" si="39"/>
        <v>⑨</v>
      </c>
      <c r="U91" s="304">
        <f t="shared" si="39"/>
        <v>42581</v>
      </c>
      <c r="V91" s="217" t="str">
        <f t="shared" si="39"/>
        <v>金沢市民</v>
      </c>
      <c r="W91" s="418"/>
      <c r="X91" s="418"/>
      <c r="Y91" s="419"/>
      <c r="Z91" s="305" t="str">
        <f>IF(COUNTIF($N$16:$N$71,VALUE($A90&amp;Z$76&amp;2))=0,"",IF(COUNTIF($N$16:$N$71,VALUE($A90&amp;Z$76&amp;2))=1,INDEX($N$16:$W$71,MATCH(VALUE($A90&amp;Z$76&amp;2),$N$16:$N$71,0),3),"NG"))</f>
        <v>②</v>
      </c>
      <c r="AA91" s="304">
        <f>IF(Z91="","",IF(Z91="NG","",INDEX($N$16:$W$71,MATCH(VALUE($A90&amp;Z$76&amp;2),$N$16:$N$71,0),4)))</f>
        <v>42665</v>
      </c>
      <c r="AB91" s="217" t="str">
        <f>IF(AA91="","",IF(AA91="NG","",INDEX($N$16:$W$71,MATCH(VALUE($A90&amp;Z$76&amp;2),$N$16:$N$71,0),7)))</f>
        <v>金沢交流</v>
      </c>
    </row>
    <row r="92" spans="1:28" x14ac:dyDescent="0.25">
      <c r="A92">
        <v>8</v>
      </c>
      <c r="B92" s="441" t="str">
        <f>IF(Z77="",A92,Z77)</f>
        <v>テイヘンズ
FC　1st</v>
      </c>
      <c r="C92" s="442"/>
      <c r="D92" s="443"/>
      <c r="E92" s="298" t="str">
        <f t="shared" ref="E92:G93" si="40">IF(Z78="","",Z78)</f>
        <v>①</v>
      </c>
      <c r="F92" s="299">
        <f t="shared" si="40"/>
        <v>42489</v>
      </c>
      <c r="G92" s="300" t="str">
        <f t="shared" si="40"/>
        <v>能登島Ｂ</v>
      </c>
      <c r="H92" s="313" t="str">
        <f t="shared" ref="H92:J93" si="41">IF(Z80="","",Z80)</f>
        <v>④</v>
      </c>
      <c r="I92" s="299">
        <f t="shared" si="41"/>
        <v>42504</v>
      </c>
      <c r="J92" s="314" t="str">
        <f t="shared" si="41"/>
        <v>金沢交流</v>
      </c>
      <c r="K92" s="300" t="str">
        <f t="shared" ref="K92:M93" si="42">IF(Z82="","",Z82)</f>
        <v>⑦</v>
      </c>
      <c r="L92" s="299">
        <f t="shared" si="42"/>
        <v>42560</v>
      </c>
      <c r="M92" s="300" t="str">
        <f t="shared" si="42"/>
        <v>星稜ｻｯｶｰ場</v>
      </c>
      <c r="N92" s="313" t="str">
        <f t="shared" ref="N92:P93" si="43">IF(Z84="","",Z84)</f>
        <v>⑤</v>
      </c>
      <c r="O92" s="299">
        <f t="shared" si="43"/>
        <v>42512</v>
      </c>
      <c r="P92" s="314" t="str">
        <f t="shared" si="43"/>
        <v>加賀陸上</v>
      </c>
      <c r="Q92" s="300" t="str">
        <f t="shared" ref="Q92:S93" si="44">IF(Z86="","",Z86)</f>
        <v>⑦</v>
      </c>
      <c r="R92" s="299">
        <f t="shared" si="44"/>
        <v>42553</v>
      </c>
      <c r="S92" s="300" t="str">
        <f t="shared" si="44"/>
        <v>金沢市民</v>
      </c>
      <c r="T92" s="313" t="str">
        <f t="shared" ref="T92:V93" si="45">IF(Z88="","",Z88)</f>
        <v>②</v>
      </c>
      <c r="U92" s="299">
        <f t="shared" si="45"/>
        <v>42491</v>
      </c>
      <c r="V92" s="314" t="str">
        <f t="shared" si="45"/>
        <v>能登島Ｂ</v>
      </c>
      <c r="W92" s="300" t="str">
        <f t="shared" ref="W92:Y93" si="46">IF(Z90="","",Z90)</f>
        <v>③</v>
      </c>
      <c r="X92" s="299">
        <f t="shared" si="46"/>
        <v>42498</v>
      </c>
      <c r="Y92" s="314" t="str">
        <f t="shared" si="46"/>
        <v>金沢交流</v>
      </c>
      <c r="Z92" s="414"/>
      <c r="AA92" s="415"/>
      <c r="AB92" s="416"/>
    </row>
    <row r="93" spans="1:28" x14ac:dyDescent="0.25">
      <c r="B93" s="441"/>
      <c r="C93" s="442"/>
      <c r="D93" s="443"/>
      <c r="E93" s="303" t="str">
        <f t="shared" si="40"/>
        <v>②</v>
      </c>
      <c r="F93" s="304">
        <f t="shared" si="40"/>
        <v>42658</v>
      </c>
      <c r="G93" s="253" t="str">
        <f t="shared" si="40"/>
        <v>金沢市民</v>
      </c>
      <c r="H93" s="305" t="str">
        <f t="shared" si="41"/>
        <v>⑧</v>
      </c>
      <c r="I93" s="304">
        <f t="shared" si="41"/>
        <v>42574</v>
      </c>
      <c r="J93" s="217" t="str">
        <f t="shared" si="41"/>
        <v>北陸大FPB</v>
      </c>
      <c r="K93" s="253" t="str">
        <f t="shared" si="42"/>
        <v>②</v>
      </c>
      <c r="L93" s="304">
        <f t="shared" si="42"/>
        <v>42617</v>
      </c>
      <c r="M93" s="253" t="str">
        <f t="shared" si="42"/>
        <v>小松市民</v>
      </c>
      <c r="N93" s="305" t="str">
        <f t="shared" si="43"/>
        <v>⑨</v>
      </c>
      <c r="O93" s="304">
        <f t="shared" si="43"/>
        <v>42588</v>
      </c>
      <c r="P93" s="217" t="str">
        <f t="shared" si="43"/>
        <v>金沢交流</v>
      </c>
      <c r="Q93" s="253" t="str">
        <f t="shared" si="44"/>
        <v>②</v>
      </c>
      <c r="R93" s="304">
        <f t="shared" si="44"/>
        <v>42677</v>
      </c>
      <c r="S93" s="253" t="str">
        <f t="shared" si="44"/>
        <v>星稜ｻｯｶｰ場</v>
      </c>
      <c r="T93" s="305" t="str">
        <f t="shared" si="45"/>
        <v>②</v>
      </c>
      <c r="U93" s="304">
        <f t="shared" si="45"/>
        <v>42645</v>
      </c>
      <c r="V93" s="217" t="str">
        <f t="shared" si="45"/>
        <v>かほく市S</v>
      </c>
      <c r="W93" s="253" t="str">
        <f t="shared" si="46"/>
        <v>②</v>
      </c>
      <c r="X93" s="304">
        <f t="shared" si="46"/>
        <v>42665</v>
      </c>
      <c r="Y93" s="217" t="str">
        <f t="shared" si="46"/>
        <v>金沢交流</v>
      </c>
      <c r="Z93" s="417"/>
      <c r="AA93" s="418"/>
      <c r="AB93" s="419"/>
    </row>
  </sheetData>
  <mergeCells count="539">
    <mergeCell ref="AD4:AF5"/>
    <mergeCell ref="AD14:AE14"/>
    <mergeCell ref="AF28:AH28"/>
    <mergeCell ref="AF17:AH17"/>
    <mergeCell ref="AF18:AH18"/>
    <mergeCell ref="AD15:AE15"/>
    <mergeCell ref="AF16:AH16"/>
    <mergeCell ref="AF26:AH26"/>
    <mergeCell ref="AF30:AH30"/>
    <mergeCell ref="AF19:AH19"/>
    <mergeCell ref="AF22:AH22"/>
    <mergeCell ref="AF25:AH25"/>
    <mergeCell ref="AF24:AH24"/>
    <mergeCell ref="AF20:AH20"/>
    <mergeCell ref="AF21:AH21"/>
    <mergeCell ref="AF23:AH23"/>
    <mergeCell ref="AF29:AH29"/>
    <mergeCell ref="AF27:AH27"/>
    <mergeCell ref="X44:Z44"/>
    <mergeCell ref="AA45:AC45"/>
    <mergeCell ref="X48:Z48"/>
    <mergeCell ref="AF50:AH50"/>
    <mergeCell ref="AA44:AC44"/>
    <mergeCell ref="AF56:AH56"/>
    <mergeCell ref="AF55:AH55"/>
    <mergeCell ref="AA49:AC49"/>
    <mergeCell ref="AF48:AH48"/>
    <mergeCell ref="AA52:AC52"/>
    <mergeCell ref="AF51:AH51"/>
    <mergeCell ref="AF52:AH52"/>
    <mergeCell ref="AA54:AC54"/>
    <mergeCell ref="AF71:AH71"/>
    <mergeCell ref="AF69:AH69"/>
    <mergeCell ref="AF70:AH70"/>
    <mergeCell ref="AF68:AH68"/>
    <mergeCell ref="AA70:AC70"/>
    <mergeCell ref="AA60:AC60"/>
    <mergeCell ref="AA56:AC56"/>
    <mergeCell ref="AA35:AC35"/>
    <mergeCell ref="AA33:AC33"/>
    <mergeCell ref="AA37:AC37"/>
    <mergeCell ref="AA50:AC50"/>
    <mergeCell ref="AA48:AC48"/>
    <mergeCell ref="AA53:AC53"/>
    <mergeCell ref="AA55:AC55"/>
    <mergeCell ref="AA51:AC51"/>
    <mergeCell ref="AA47:AC47"/>
    <mergeCell ref="AA46:AC46"/>
    <mergeCell ref="AF49:AH49"/>
    <mergeCell ref="AF45:AH45"/>
    <mergeCell ref="AF46:AH46"/>
    <mergeCell ref="AF53:AH53"/>
    <mergeCell ref="AF54:AH54"/>
    <mergeCell ref="AA57:AC57"/>
    <mergeCell ref="AF67:AH67"/>
    <mergeCell ref="AF64:AH64"/>
    <mergeCell ref="AF43:AH43"/>
    <mergeCell ref="AF47:AH47"/>
    <mergeCell ref="AF44:AH44"/>
    <mergeCell ref="AF39:AH39"/>
    <mergeCell ref="AA43:AC43"/>
    <mergeCell ref="AF62:AH62"/>
    <mergeCell ref="AA63:AC63"/>
    <mergeCell ref="AF63:AH63"/>
    <mergeCell ref="AF66:AH66"/>
    <mergeCell ref="AF65:AH65"/>
    <mergeCell ref="AA66:AC66"/>
    <mergeCell ref="X56:Z56"/>
    <mergeCell ref="AF61:AH61"/>
    <mergeCell ref="X60:Z60"/>
    <mergeCell ref="X58:Z58"/>
    <mergeCell ref="X59:Z59"/>
    <mergeCell ref="AF58:AH58"/>
    <mergeCell ref="AA58:AC58"/>
    <mergeCell ref="AA59:AC59"/>
    <mergeCell ref="AF60:AH60"/>
    <mergeCell ref="AA64:AC64"/>
    <mergeCell ref="AA65:AC65"/>
    <mergeCell ref="AF59:AH59"/>
    <mergeCell ref="AF57:AH57"/>
    <mergeCell ref="X52:Z52"/>
    <mergeCell ref="V57:W57"/>
    <mergeCell ref="V58:W58"/>
    <mergeCell ref="X57:Z57"/>
    <mergeCell ref="X55:Z55"/>
    <mergeCell ref="X53:Z53"/>
    <mergeCell ref="X54:Z54"/>
    <mergeCell ref="T47:U47"/>
    <mergeCell ref="T64:U64"/>
    <mergeCell ref="V62:W62"/>
    <mergeCell ref="V59:W59"/>
    <mergeCell ref="Q46:R46"/>
    <mergeCell ref="V47:W47"/>
    <mergeCell ref="X45:Z45"/>
    <mergeCell ref="AA71:AC71"/>
    <mergeCell ref="AA67:AC67"/>
    <mergeCell ref="V70:W70"/>
    <mergeCell ref="V64:W64"/>
    <mergeCell ref="X64:Z64"/>
    <mergeCell ref="V66:W66"/>
    <mergeCell ref="X47:Z47"/>
    <mergeCell ref="Q47:R47"/>
    <mergeCell ref="T55:U55"/>
    <mergeCell ref="T52:U52"/>
    <mergeCell ref="V56:W56"/>
    <mergeCell ref="T49:U49"/>
    <mergeCell ref="X50:Z50"/>
    <mergeCell ref="T53:U53"/>
    <mergeCell ref="T51:U51"/>
    <mergeCell ref="X49:Z49"/>
    <mergeCell ref="X51:Z51"/>
    <mergeCell ref="T50:U50"/>
    <mergeCell ref="V48:W48"/>
    <mergeCell ref="T48:U48"/>
    <mergeCell ref="Q53:R53"/>
    <mergeCell ref="V39:W39"/>
    <mergeCell ref="AF32:AH32"/>
    <mergeCell ref="T45:U45"/>
    <mergeCell ref="Q45:R45"/>
    <mergeCell ref="V46:W46"/>
    <mergeCell ref="X46:Z46"/>
    <mergeCell ref="V45:W45"/>
    <mergeCell ref="V44:W44"/>
    <mergeCell ref="Q44:R44"/>
    <mergeCell ref="T46:U46"/>
    <mergeCell ref="AA34:AC34"/>
    <mergeCell ref="X42:Z42"/>
    <mergeCell ref="AA42:AC42"/>
    <mergeCell ref="AF42:AH42"/>
    <mergeCell ref="T36:U36"/>
    <mergeCell ref="T44:U44"/>
    <mergeCell ref="T43:U43"/>
    <mergeCell ref="Q43:R43"/>
    <mergeCell ref="X43:Z43"/>
    <mergeCell ref="V40:W40"/>
    <mergeCell ref="V43:W43"/>
    <mergeCell ref="X41:Z41"/>
    <mergeCell ref="V42:W42"/>
    <mergeCell ref="V41:W41"/>
    <mergeCell ref="AF34:AH34"/>
    <mergeCell ref="AF41:AH41"/>
    <mergeCell ref="AF40:AH40"/>
    <mergeCell ref="AA32:AC32"/>
    <mergeCell ref="X35:Z35"/>
    <mergeCell ref="AF37:AH37"/>
    <mergeCell ref="AF38:AH38"/>
    <mergeCell ref="AF31:AH31"/>
    <mergeCell ref="X33:Z33"/>
    <mergeCell ref="X34:Z34"/>
    <mergeCell ref="X32:Z32"/>
    <mergeCell ref="X37:Z37"/>
    <mergeCell ref="X39:Z39"/>
    <mergeCell ref="AF36:AH36"/>
    <mergeCell ref="AA41:AC41"/>
    <mergeCell ref="AA39:AC39"/>
    <mergeCell ref="AA40:AC40"/>
    <mergeCell ref="X40:Z40"/>
    <mergeCell ref="AF33:AH33"/>
    <mergeCell ref="AF35:AH35"/>
    <mergeCell ref="AA18:AC18"/>
    <mergeCell ref="AA31:AC31"/>
    <mergeCell ref="AA21:AC21"/>
    <mergeCell ref="X27:Z27"/>
    <mergeCell ref="X28:Z28"/>
    <mergeCell ref="AA28:AC28"/>
    <mergeCell ref="AA19:AC19"/>
    <mergeCell ref="X31:Z31"/>
    <mergeCell ref="X22:Z22"/>
    <mergeCell ref="AA22:AC22"/>
    <mergeCell ref="AA38:AC38"/>
    <mergeCell ref="X38:Z38"/>
    <mergeCell ref="X36:Z36"/>
    <mergeCell ref="AA36:AC36"/>
    <mergeCell ref="AA25:AC25"/>
    <mergeCell ref="X24:Z24"/>
    <mergeCell ref="X25:Z25"/>
    <mergeCell ref="V30:W30"/>
    <mergeCell ref="X23:Z23"/>
    <mergeCell ref="AA23:AC23"/>
    <mergeCell ref="V38:W38"/>
    <mergeCell ref="V36:W36"/>
    <mergeCell ref="V37:W37"/>
    <mergeCell ref="V31:W31"/>
    <mergeCell ref="V32:W32"/>
    <mergeCell ref="V33:W33"/>
    <mergeCell ref="V35:W35"/>
    <mergeCell ref="V34:W34"/>
    <mergeCell ref="X30:Z30"/>
    <mergeCell ref="AA30:AC30"/>
    <mergeCell ref="X29:Z29"/>
    <mergeCell ref="AA24:AC24"/>
    <mergeCell ref="F2:G2"/>
    <mergeCell ref="H4:J4"/>
    <mergeCell ref="E4:G4"/>
    <mergeCell ref="AA20:AC20"/>
    <mergeCell ref="G16:I16"/>
    <mergeCell ref="Q3:S3"/>
    <mergeCell ref="K5:M5"/>
    <mergeCell ref="N4:P4"/>
    <mergeCell ref="N3:P3"/>
    <mergeCell ref="Q4:S4"/>
    <mergeCell ref="E5:G5"/>
    <mergeCell ref="N5:P5"/>
    <mergeCell ref="T3:V3"/>
    <mergeCell ref="T4:V4"/>
    <mergeCell ref="E3:G3"/>
    <mergeCell ref="H3:J3"/>
    <mergeCell ref="H5:J5"/>
    <mergeCell ref="K4:M4"/>
    <mergeCell ref="Q5:S5"/>
    <mergeCell ref="V23:W23"/>
    <mergeCell ref="X14:AC14"/>
    <mergeCell ref="V18:W18"/>
    <mergeCell ref="K3:M3"/>
    <mergeCell ref="T18:U18"/>
    <mergeCell ref="Q18:R18"/>
    <mergeCell ref="T15:U15"/>
    <mergeCell ref="V14:W14"/>
    <mergeCell ref="Z3:AB3"/>
    <mergeCell ref="N14:O14"/>
    <mergeCell ref="T5:V5"/>
    <mergeCell ref="Z4:AB4"/>
    <mergeCell ref="W3:Y3"/>
    <mergeCell ref="W4:Y4"/>
    <mergeCell ref="J14:K14"/>
    <mergeCell ref="Q15:R15"/>
    <mergeCell ref="T14:U14"/>
    <mergeCell ref="Q14:R14"/>
    <mergeCell ref="V17:W17"/>
    <mergeCell ref="T16:U16"/>
    <mergeCell ref="Q17:R17"/>
    <mergeCell ref="Q16:R16"/>
    <mergeCell ref="V16:W16"/>
    <mergeCell ref="T17:U17"/>
    <mergeCell ref="AA17:AC17"/>
    <mergeCell ref="Z5:AB5"/>
    <mergeCell ref="W5:Y5"/>
    <mergeCell ref="V19:W19"/>
    <mergeCell ref="Q27:R27"/>
    <mergeCell ref="Q26:R26"/>
    <mergeCell ref="N27:O27"/>
    <mergeCell ref="T21:U21"/>
    <mergeCell ref="X17:Z17"/>
    <mergeCell ref="T20:U20"/>
    <mergeCell ref="V24:W24"/>
    <mergeCell ref="N18:O18"/>
    <mergeCell ref="AA16:AC16"/>
    <mergeCell ref="N21:O21"/>
    <mergeCell ref="N19:O19"/>
    <mergeCell ref="Q19:R19"/>
    <mergeCell ref="Q21:R21"/>
    <mergeCell ref="N20:O20"/>
    <mergeCell ref="N22:O22"/>
    <mergeCell ref="Q22:R22"/>
    <mergeCell ref="Q20:R20"/>
    <mergeCell ref="N24:O24"/>
    <mergeCell ref="AA15:AC15"/>
    <mergeCell ref="X15:Z15"/>
    <mergeCell ref="V15:W15"/>
    <mergeCell ref="T22:U22"/>
    <mergeCell ref="T23:U23"/>
    <mergeCell ref="T24:U24"/>
    <mergeCell ref="T26:U26"/>
    <mergeCell ref="X20:Z20"/>
    <mergeCell ref="X19:Z19"/>
    <mergeCell ref="T19:U19"/>
    <mergeCell ref="X16:Z16"/>
    <mergeCell ref="V21:W21"/>
    <mergeCell ref="V20:W20"/>
    <mergeCell ref="X21:Z21"/>
    <mergeCell ref="V22:W22"/>
    <mergeCell ref="V25:W25"/>
    <mergeCell ref="X18:Z18"/>
    <mergeCell ref="Q23:R23"/>
    <mergeCell ref="Q24:R24"/>
    <mergeCell ref="T25:U25"/>
    <mergeCell ref="N25:O25"/>
    <mergeCell ref="Q25:R25"/>
    <mergeCell ref="N23:O23"/>
    <mergeCell ref="B14:B15"/>
    <mergeCell ref="C14:C15"/>
    <mergeCell ref="G19:I19"/>
    <mergeCell ref="G18:I18"/>
    <mergeCell ref="G15:I15"/>
    <mergeCell ref="G17:I17"/>
    <mergeCell ref="J15:K15"/>
    <mergeCell ref="J17:K17"/>
    <mergeCell ref="N16:O16"/>
    <mergeCell ref="N15:O15"/>
    <mergeCell ref="N17:O17"/>
    <mergeCell ref="J16:K16"/>
    <mergeCell ref="J18:K18"/>
    <mergeCell ref="G25:I25"/>
    <mergeCell ref="G20:I20"/>
    <mergeCell ref="D14:E14"/>
    <mergeCell ref="G14:I14"/>
    <mergeCell ref="J21:K21"/>
    <mergeCell ref="T29:U29"/>
    <mergeCell ref="AA26:AC26"/>
    <mergeCell ref="V26:W26"/>
    <mergeCell ref="V27:W27"/>
    <mergeCell ref="X26:Z26"/>
    <mergeCell ref="AA29:AC29"/>
    <mergeCell ref="AA27:AC27"/>
    <mergeCell ref="T27:U27"/>
    <mergeCell ref="V29:W29"/>
    <mergeCell ref="T28:U28"/>
    <mergeCell ref="V28:W28"/>
    <mergeCell ref="J22:K22"/>
    <mergeCell ref="G31:I31"/>
    <mergeCell ref="N31:O31"/>
    <mergeCell ref="G26:I26"/>
    <mergeCell ref="J27:K27"/>
    <mergeCell ref="G27:I27"/>
    <mergeCell ref="J26:K26"/>
    <mergeCell ref="N26:O26"/>
    <mergeCell ref="N28:O28"/>
    <mergeCell ref="N29:O29"/>
    <mergeCell ref="G29:I29"/>
    <mergeCell ref="G28:I28"/>
    <mergeCell ref="G30:I30"/>
    <mergeCell ref="J28:K28"/>
    <mergeCell ref="J25:K25"/>
    <mergeCell ref="G24:I24"/>
    <mergeCell ref="J24:K24"/>
    <mergeCell ref="J19:K19"/>
    <mergeCell ref="J23:K23"/>
    <mergeCell ref="G36:I36"/>
    <mergeCell ref="J36:K36"/>
    <mergeCell ref="G34:I34"/>
    <mergeCell ref="Q34:R34"/>
    <mergeCell ref="J31:K31"/>
    <mergeCell ref="G32:I32"/>
    <mergeCell ref="N32:O32"/>
    <mergeCell ref="G35:I35"/>
    <mergeCell ref="N33:O33"/>
    <mergeCell ref="N35:O35"/>
    <mergeCell ref="Q29:R29"/>
    <mergeCell ref="J30:K30"/>
    <mergeCell ref="Q28:R28"/>
    <mergeCell ref="N30:O30"/>
    <mergeCell ref="J29:K29"/>
    <mergeCell ref="J32:K32"/>
    <mergeCell ref="Q30:R30"/>
    <mergeCell ref="Q31:R31"/>
    <mergeCell ref="G21:I21"/>
    <mergeCell ref="J20:K20"/>
    <mergeCell ref="G22:I22"/>
    <mergeCell ref="G23:I23"/>
    <mergeCell ref="G37:I37"/>
    <mergeCell ref="J37:K37"/>
    <mergeCell ref="J38:K38"/>
    <mergeCell ref="J35:K35"/>
    <mergeCell ref="Q32:R32"/>
    <mergeCell ref="J34:K34"/>
    <mergeCell ref="G33:I33"/>
    <mergeCell ref="J33:K33"/>
    <mergeCell ref="L32:L36"/>
    <mergeCell ref="N34:O34"/>
    <mergeCell ref="Q36:R36"/>
    <mergeCell ref="N37:O37"/>
    <mergeCell ref="N36:O36"/>
    <mergeCell ref="Q37:R37"/>
    <mergeCell ref="Q33:R33"/>
    <mergeCell ref="Q35:R35"/>
    <mergeCell ref="G38:I38"/>
    <mergeCell ref="N38:O38"/>
    <mergeCell ref="T42:U42"/>
    <mergeCell ref="N41:O41"/>
    <mergeCell ref="T39:U39"/>
    <mergeCell ref="Q38:R38"/>
    <mergeCell ref="T41:U41"/>
    <mergeCell ref="T40:U40"/>
    <mergeCell ref="J42:K42"/>
    <mergeCell ref="Q42:R42"/>
    <mergeCell ref="N42:O42"/>
    <mergeCell ref="T30:U30"/>
    <mergeCell ref="T32:U32"/>
    <mergeCell ref="T34:U34"/>
    <mergeCell ref="T38:U38"/>
    <mergeCell ref="T37:U37"/>
    <mergeCell ref="T35:U35"/>
    <mergeCell ref="T33:U33"/>
    <mergeCell ref="T31:U31"/>
    <mergeCell ref="J41:K41"/>
    <mergeCell ref="Q39:R39"/>
    <mergeCell ref="Q41:R41"/>
    <mergeCell ref="N40:O40"/>
    <mergeCell ref="N39:O39"/>
    <mergeCell ref="Q40:R40"/>
    <mergeCell ref="J40:K40"/>
    <mergeCell ref="J39:K39"/>
    <mergeCell ref="L39:L43"/>
    <mergeCell ref="G43:I43"/>
    <mergeCell ref="G42:I42"/>
    <mergeCell ref="G41:I41"/>
    <mergeCell ref="G45:I45"/>
    <mergeCell ref="G46:I46"/>
    <mergeCell ref="G47:I47"/>
    <mergeCell ref="J45:K45"/>
    <mergeCell ref="N45:O45"/>
    <mergeCell ref="J46:K46"/>
    <mergeCell ref="N43:O43"/>
    <mergeCell ref="J44:K44"/>
    <mergeCell ref="J43:K43"/>
    <mergeCell ref="J47:K47"/>
    <mergeCell ref="G39:I39"/>
    <mergeCell ref="G40:I40"/>
    <mergeCell ref="N46:O46"/>
    <mergeCell ref="N64:O64"/>
    <mergeCell ref="N63:O63"/>
    <mergeCell ref="N48:O48"/>
    <mergeCell ref="N59:O59"/>
    <mergeCell ref="N56:O56"/>
    <mergeCell ref="N54:O54"/>
    <mergeCell ref="G44:I44"/>
    <mergeCell ref="N47:O47"/>
    <mergeCell ref="N44:O44"/>
    <mergeCell ref="N52:O52"/>
    <mergeCell ref="N50:O50"/>
    <mergeCell ref="N51:O51"/>
    <mergeCell ref="N57:O57"/>
    <mergeCell ref="N58:O58"/>
    <mergeCell ref="N53:O53"/>
    <mergeCell ref="N49:O49"/>
    <mergeCell ref="B80:D81"/>
    <mergeCell ref="N71:O71"/>
    <mergeCell ref="K77:M77"/>
    <mergeCell ref="H80:J81"/>
    <mergeCell ref="Q67:R67"/>
    <mergeCell ref="Q69:R69"/>
    <mergeCell ref="Q70:R70"/>
    <mergeCell ref="B92:D93"/>
    <mergeCell ref="B88:D89"/>
    <mergeCell ref="B90:D91"/>
    <mergeCell ref="B76:D77"/>
    <mergeCell ref="B78:D79"/>
    <mergeCell ref="K82:M83"/>
    <mergeCell ref="N68:O68"/>
    <mergeCell ref="N77:P77"/>
    <mergeCell ref="N76:P76"/>
    <mergeCell ref="B86:D87"/>
    <mergeCell ref="B84:D85"/>
    <mergeCell ref="N84:P85"/>
    <mergeCell ref="B82:D83"/>
    <mergeCell ref="E78:G79"/>
    <mergeCell ref="H77:J77"/>
    <mergeCell ref="E77:G77"/>
    <mergeCell ref="Q48:R48"/>
    <mergeCell ref="V55:W55"/>
    <mergeCell ref="V49:W49"/>
    <mergeCell ref="V50:W50"/>
    <mergeCell ref="V54:W54"/>
    <mergeCell ref="Q76:S76"/>
    <mergeCell ref="N70:O70"/>
    <mergeCell ref="N69:O69"/>
    <mergeCell ref="E76:G76"/>
    <mergeCell ref="H76:J76"/>
    <mergeCell ref="K76:M76"/>
    <mergeCell ref="L67:L71"/>
    <mergeCell ref="N67:O67"/>
    <mergeCell ref="N65:O65"/>
    <mergeCell ref="L60:L64"/>
    <mergeCell ref="N66:O66"/>
    <mergeCell ref="Q86:S87"/>
    <mergeCell ref="V63:W63"/>
    <mergeCell ref="Q57:R57"/>
    <mergeCell ref="V61:W61"/>
    <mergeCell ref="T63:U63"/>
    <mergeCell ref="T65:U65"/>
    <mergeCell ref="Q52:R52"/>
    <mergeCell ref="Q49:R49"/>
    <mergeCell ref="T54:U54"/>
    <mergeCell ref="V53:W53"/>
    <mergeCell ref="V51:W51"/>
    <mergeCell ref="V52:W52"/>
    <mergeCell ref="Q55:R55"/>
    <mergeCell ref="Q54:R54"/>
    <mergeCell ref="T69:U69"/>
    <mergeCell ref="Q64:R64"/>
    <mergeCell ref="Q65:R65"/>
    <mergeCell ref="Q50:R50"/>
    <mergeCell ref="Q51:R51"/>
    <mergeCell ref="N55:O55"/>
    <mergeCell ref="N60:O60"/>
    <mergeCell ref="N61:O61"/>
    <mergeCell ref="N62:O62"/>
    <mergeCell ref="T62:U62"/>
    <mergeCell ref="T60:U60"/>
    <mergeCell ref="T66:U66"/>
    <mergeCell ref="T67:U67"/>
    <mergeCell ref="Q56:R56"/>
    <mergeCell ref="Q61:R61"/>
    <mergeCell ref="T77:V77"/>
    <mergeCell ref="Q68:R68"/>
    <mergeCell ref="T68:U68"/>
    <mergeCell ref="T70:U70"/>
    <mergeCell ref="Q66:R66"/>
    <mergeCell ref="AA68:AC68"/>
    <mergeCell ref="V68:W68"/>
    <mergeCell ref="V69:W69"/>
    <mergeCell ref="T58:U58"/>
    <mergeCell ref="T59:U59"/>
    <mergeCell ref="Q58:R58"/>
    <mergeCell ref="Q60:R60"/>
    <mergeCell ref="Q59:R59"/>
    <mergeCell ref="Q77:S77"/>
    <mergeCell ref="T56:U56"/>
    <mergeCell ref="V65:W65"/>
    <mergeCell ref="T57:U57"/>
    <mergeCell ref="V60:W60"/>
    <mergeCell ref="Q63:R63"/>
    <mergeCell ref="Q62:R62"/>
    <mergeCell ref="T61:U61"/>
    <mergeCell ref="Q71:R71"/>
    <mergeCell ref="Z92:AB93"/>
    <mergeCell ref="AA62:AC62"/>
    <mergeCell ref="AA61:AC61"/>
    <mergeCell ref="Z77:AB77"/>
    <mergeCell ref="AA69:AC69"/>
    <mergeCell ref="X63:Z63"/>
    <mergeCell ref="X62:Z62"/>
    <mergeCell ref="X61:Z61"/>
    <mergeCell ref="W90:Y91"/>
    <mergeCell ref="Z76:AB76"/>
    <mergeCell ref="X66:Z66"/>
    <mergeCell ref="X71:Z71"/>
    <mergeCell ref="W76:Y76"/>
    <mergeCell ref="V67:W67"/>
    <mergeCell ref="X67:Z67"/>
    <mergeCell ref="X70:Z70"/>
    <mergeCell ref="T88:V89"/>
    <mergeCell ref="V71:W71"/>
    <mergeCell ref="T71:U71"/>
    <mergeCell ref="T76:V76"/>
    <mergeCell ref="W77:Y77"/>
    <mergeCell ref="X69:Z69"/>
    <mergeCell ref="X68:Z68"/>
    <mergeCell ref="X65:Z65"/>
  </mergeCells>
  <phoneticPr fontId="2"/>
  <dataValidations count="7">
    <dataValidation type="list" allowBlank="1" showInputMessage="1" showErrorMessage="1" sqref="T16:U71" xr:uid="{00000000-0002-0000-0000-000000000000}">
      <formula1>$J$16:$J$47</formula1>
    </dataValidation>
    <dataValidation type="list" allowBlank="1" showInputMessage="1" showErrorMessage="1" sqref="Q16:R71" xr:uid="{00000000-0002-0000-0000-000001000000}">
      <formula1>$B$15:$B$68</formula1>
    </dataValidation>
    <dataValidation type="list" allowBlank="1" showInputMessage="1" showErrorMessage="1" sqref="F2:G2" xr:uid="{00000000-0002-0000-0000-000002000000}">
      <formula1>$AN$13:$AN$33</formula1>
    </dataValidation>
    <dataValidation type="list" allowBlank="1" showInputMessage="1" showErrorMessage="1" sqref="AD44:AE71" xr:uid="{00000000-0002-0000-0000-000003000000}">
      <formula1>$AN$3:$AN$34</formula1>
    </dataValidation>
    <dataValidation type="list" allowBlank="1" showInputMessage="1" showErrorMessage="1" sqref="AD16:AE43" xr:uid="{00000000-0002-0000-0000-000004000000}">
      <formula1>$AN$3:$AN$45</formula1>
    </dataValidation>
    <dataValidation type="list" allowBlank="1" showInputMessage="1" showErrorMessage="1" sqref="N16:O43" xr:uid="{00000000-0002-0000-0000-000005000000}">
      <formula1>$AP$2:$AP$30</formula1>
    </dataValidation>
    <dataValidation type="list" allowBlank="1" showInputMessage="1" showErrorMessage="1" sqref="N44:O71" xr:uid="{00000000-0002-0000-0000-000006000000}">
      <formula1>$AQ$2:$AQ$30</formula1>
    </dataValidation>
  </dataValidations>
  <pageMargins left="0.7" right="0.7" top="0.75" bottom="0.75" header="0.3" footer="0.3"/>
  <ignoredErrors>
    <ignoredError sqref="AT27:AU27 AU28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99"/>
  </sheetPr>
  <dimension ref="A1:R69"/>
  <sheetViews>
    <sheetView view="pageBreakPreview" topLeftCell="A28" zoomScaleNormal="100" zoomScaleSheetLayoutView="100" workbookViewId="0">
      <selection activeCell="O52" sqref="O52"/>
    </sheetView>
  </sheetViews>
  <sheetFormatPr defaultRowHeight="12.75" x14ac:dyDescent="0.25"/>
  <cols>
    <col min="1" max="1" width="7.1328125" customWidth="1"/>
    <col min="2" max="2" width="3.3984375" customWidth="1"/>
    <col min="3" max="3" width="4.1328125" customWidth="1"/>
    <col min="4" max="4" width="7.1328125" customWidth="1"/>
    <col min="5" max="5" width="4.265625" customWidth="1"/>
    <col min="6" max="6" width="12" customWidth="1"/>
    <col min="7" max="7" width="6.86328125" customWidth="1"/>
    <col min="8" max="8" width="12.1328125" customWidth="1"/>
    <col min="9" max="9" width="4.3984375" customWidth="1"/>
    <col min="10" max="10" width="1.73046875" customWidth="1"/>
    <col min="11" max="11" width="3.73046875" customWidth="1"/>
    <col min="12" max="12" width="1.73046875" customWidth="1"/>
    <col min="13" max="13" width="4" customWidth="1"/>
    <col min="14" max="14" width="1.86328125" customWidth="1"/>
    <col min="15" max="15" width="5.1328125" customWidth="1"/>
    <col min="16" max="16" width="12.1328125" customWidth="1"/>
    <col min="17" max="17" width="12.3984375" customWidth="1"/>
    <col min="18" max="18" width="6.1328125" customWidth="1"/>
    <col min="21" max="27" width="2.1328125" customWidth="1"/>
  </cols>
  <sheetData>
    <row r="1" spans="1:18" ht="16.149999999999999" x14ac:dyDescent="0.25">
      <c r="A1" s="161" t="s">
        <v>186</v>
      </c>
      <c r="C1" s="161"/>
      <c r="F1" t="s">
        <v>187</v>
      </c>
    </row>
    <row r="2" spans="1:18" ht="16.149999999999999" x14ac:dyDescent="0.25">
      <c r="B2" s="161"/>
      <c r="C2" s="161" t="s">
        <v>188</v>
      </c>
    </row>
    <row r="3" spans="1:18" ht="16.149999999999999" x14ac:dyDescent="0.25">
      <c r="B3" s="161"/>
      <c r="C3" s="161"/>
    </row>
    <row r="4" spans="1:18" ht="16.149999999999999" x14ac:dyDescent="0.25">
      <c r="A4" s="224">
        <v>1</v>
      </c>
      <c r="B4" s="290">
        <v>2</v>
      </c>
      <c r="C4" s="290">
        <v>3</v>
      </c>
      <c r="D4" s="224">
        <v>4</v>
      </c>
      <c r="E4" s="224">
        <v>5</v>
      </c>
      <c r="F4" s="224">
        <v>6</v>
      </c>
      <c r="G4" s="224">
        <v>7</v>
      </c>
      <c r="H4" s="224">
        <v>8</v>
      </c>
      <c r="I4" s="224">
        <v>9</v>
      </c>
      <c r="J4" s="224">
        <v>10</v>
      </c>
      <c r="K4" s="224">
        <v>11</v>
      </c>
      <c r="L4" s="224">
        <v>12</v>
      </c>
      <c r="M4" s="224">
        <v>13</v>
      </c>
      <c r="N4" s="224">
        <v>14</v>
      </c>
      <c r="O4" s="224">
        <v>15</v>
      </c>
      <c r="P4" s="224">
        <v>16</v>
      </c>
      <c r="Q4" s="224">
        <v>17</v>
      </c>
      <c r="R4" s="224"/>
    </row>
    <row r="5" spans="1:18" ht="13.5" customHeight="1" x14ac:dyDescent="0.25">
      <c r="B5" s="222" t="str">
        <f>"高円宮杯 第"&amp;DBCS(編成!J1-2007)&amp;"回 石川県ユース(Ｕ－1５)サッカーチャレンジリーグ "&amp;編成!J1</f>
        <v>高円宮杯 第９回 石川県ユース(Ｕ－1５)サッカーチャレンジリーグ 2016</v>
      </c>
      <c r="O5" s="226" t="s">
        <v>189</v>
      </c>
      <c r="P5" s="225" t="str">
        <f>編成!F2</f>
        <v>トップ</v>
      </c>
      <c r="Q5" s="221" t="s">
        <v>190</v>
      </c>
      <c r="R5" s="221"/>
    </row>
    <row r="6" spans="1:18" ht="12.75" customHeight="1" x14ac:dyDescent="0.25">
      <c r="A6" s="224" t="s">
        <v>55</v>
      </c>
      <c r="C6" s="227" t="s">
        <v>45</v>
      </c>
      <c r="D6" s="228" t="s">
        <v>191</v>
      </c>
      <c r="E6" s="230" t="s">
        <v>192</v>
      </c>
      <c r="F6" s="228" t="s">
        <v>193</v>
      </c>
      <c r="G6" s="229" t="s">
        <v>194</v>
      </c>
      <c r="H6" s="232" t="s">
        <v>195</v>
      </c>
      <c r="I6" s="525" t="s">
        <v>196</v>
      </c>
      <c r="J6" s="526"/>
      <c r="K6" s="526"/>
      <c r="L6" s="526"/>
      <c r="M6" s="526"/>
      <c r="N6" s="526"/>
      <c r="O6" s="527"/>
      <c r="P6" s="231" t="s">
        <v>197</v>
      </c>
      <c r="Q6" s="230" t="s">
        <v>60</v>
      </c>
      <c r="R6" s="355"/>
    </row>
    <row r="7" spans="1:18" ht="15" customHeight="1" x14ac:dyDescent="0.25">
      <c r="A7" s="156">
        <f>IF(MAX(編成!$AI$16:$AI$71)&lt;記入!$B7,"",INDEX(編成!$M$16:$AI$71,MATCH(記入!$B7,編成!$AI$16:$AI$71,0),2))</f>
        <v>341</v>
      </c>
      <c r="B7">
        <v>1</v>
      </c>
      <c r="C7" s="235" t="str">
        <f>IF(A7="","",INDEX(編成!$M$16:$AI$71,MATCH($B7,編成!$AI$16:$AI$71,0),4))</f>
        <v>①</v>
      </c>
      <c r="D7" s="236">
        <f>IF($A7="","",INDEX(編成!$M$16:$AI$71,MATCH($B7,編成!$AI$16:$AI$71,0),5))</f>
        <v>42489</v>
      </c>
      <c r="E7" s="237" t="str">
        <f>IF($A7="","",INDEX(編成!$M$16:$AI$71,MATCH($B7,編成!$AI$16:$AI$71,0),7))</f>
        <v>金</v>
      </c>
      <c r="F7" s="237" t="str">
        <f>IF($A7="","",INDEX(編成!$M$16:$AI$71,MATCH($B7,編成!$AI$16:$AI$71,0),8))</f>
        <v>星稜ｻｯｶｰ場</v>
      </c>
      <c r="G7" s="238">
        <f>IF($A7="","",INDEX(編成!$M$16:$AI$71,MATCH($B7,編成!$AI$16:$AI$71,0),10))</f>
        <v>0.375</v>
      </c>
      <c r="H7" s="239" t="str">
        <f>IF($A7="","",INDEX(編成!$M$16:$AI$71,MATCH($B7,編成!$AI$16:$AI$71,0),12))</f>
        <v>星稜中学校</v>
      </c>
      <c r="I7" s="251">
        <v>1</v>
      </c>
      <c r="J7" s="233" t="s">
        <v>198</v>
      </c>
      <c r="K7" s="251">
        <v>1</v>
      </c>
      <c r="L7" s="234" t="s">
        <v>199</v>
      </c>
      <c r="M7" s="251">
        <v>0</v>
      </c>
      <c r="N7" s="233" t="s">
        <v>200</v>
      </c>
      <c r="O7" s="251">
        <v>0</v>
      </c>
      <c r="P7" s="240" t="str">
        <f>IF($A7="","",INDEX(編成!$M$16:$AI$71,MATCH($B7,編成!$AI$16:$AI$71,0),15))</f>
        <v>Riopedra
加賀FC</v>
      </c>
      <c r="Q7" s="237" t="str">
        <f>IF($A7="","",INDEX(編成!$M$16:$AI$71,MATCH($B7,編成!$AI$16:$AI$71,0),18))</f>
        <v>サザン1st</v>
      </c>
      <c r="R7" s="314" t="str">
        <f>IF($A7="","",INDEX(編成!$M$16:$AI$71,MATCH($B7,編成!$AI$16:$AI$71,0),19))</f>
        <v>FC小松1st</v>
      </c>
    </row>
    <row r="8" spans="1:18" ht="15" customHeight="1" x14ac:dyDescent="0.25">
      <c r="A8" s="156">
        <f>IF(MAX(編成!$AI$16:$AI$71)&lt;記入!$B8,"",INDEX(編成!$M$16:$AI$71,MATCH(記入!$B8,編成!$AI$16:$AI$71,0),2))</f>
        <v>561</v>
      </c>
      <c r="B8">
        <v>2</v>
      </c>
      <c r="C8" s="241" t="str">
        <f>IF(A8="","",INDEX(編成!$M$16:$AI$71,MATCH($B8,編成!$AI$16:$AI$71,0),4))</f>
        <v>①</v>
      </c>
      <c r="D8" s="242">
        <f>IF($A8="","",INDEX(編成!$M$16:$AI$71,MATCH($B8,編成!$AI$16:$AI$71,0),5))</f>
        <v>42489</v>
      </c>
      <c r="E8" s="243" t="str">
        <f>IF($A8="","",INDEX(編成!$M$16:$AI$71,MATCH($B8,編成!$AI$16:$AI$71,0),7))</f>
        <v>金</v>
      </c>
      <c r="F8" s="243" t="str">
        <f>IF($A8="","",INDEX(編成!$M$16:$AI$71,MATCH($B8,編成!$AI$16:$AI$71,0),8))</f>
        <v>星稜ｻｯｶｰ場</v>
      </c>
      <c r="G8" s="244">
        <f>IF($A8="","",INDEX(編成!$M$16:$AI$71,MATCH($B8,編成!$AI$16:$AI$71,0),10))</f>
        <v>0.4513888888888889</v>
      </c>
      <c r="H8" s="245" t="str">
        <f>IF($A8="","",INDEX(編成!$M$16:$AI$71,MATCH($B8,編成!$AI$16:$AI$71,0),12))</f>
        <v>FC小松
1st</v>
      </c>
      <c r="I8" s="249">
        <v>0</v>
      </c>
      <c r="J8" s="246" t="s">
        <v>198</v>
      </c>
      <c r="K8" s="249">
        <v>0</v>
      </c>
      <c r="L8" s="247" t="s">
        <v>199</v>
      </c>
      <c r="M8" s="249">
        <v>0</v>
      </c>
      <c r="N8" s="246" t="s">
        <v>200</v>
      </c>
      <c r="O8" s="249">
        <v>1</v>
      </c>
      <c r="P8" s="248" t="str">
        <f>IF($A8="","",INDEX(編成!$M$16:$AI$71,MATCH($B8,編成!$AI$16:$AI$71,0),15))</f>
        <v>FC.
SOUTHERN
1st</v>
      </c>
      <c r="Q8" s="243" t="str">
        <f>IF($A8="","",INDEX(編成!$M$16:$AI$71,MATCH($B8,編成!$AI$16:$AI$71,0),18))</f>
        <v>星稜中</v>
      </c>
      <c r="R8" s="345" t="str">
        <f>IF($A8="","",INDEX(編成!$M$16:$AI$71,MATCH($B8,編成!$AI$16:$AI$71,0),19))</f>
        <v>Riopedra</v>
      </c>
    </row>
    <row r="9" spans="1:18" ht="15" customHeight="1" x14ac:dyDescent="0.25">
      <c r="A9" s="156">
        <f>IF(MAX(編成!$AI$16:$AI$71)&lt;記入!$B9,"",INDEX(編成!$M$16:$AI$71,MATCH(記入!$B9,編成!$AI$16:$AI$71,0),2))</f>
        <v>271</v>
      </c>
      <c r="B9">
        <v>3</v>
      </c>
      <c r="C9" s="241" t="str">
        <f>IF(A9="","",INDEX(編成!$M$16:$AI$71,MATCH($B9,編成!$AI$16:$AI$71,0),4))</f>
        <v>①</v>
      </c>
      <c r="D9" s="242">
        <f>IF($A9="","",INDEX(編成!$M$16:$AI$71,MATCH($B9,編成!$AI$16:$AI$71,0),5))</f>
        <v>42489</v>
      </c>
      <c r="E9" s="243" t="str">
        <f>IF($A9="","",INDEX(編成!$M$16:$AI$71,MATCH($B9,編成!$AI$16:$AI$71,0),7))</f>
        <v>金</v>
      </c>
      <c r="F9" s="243" t="str">
        <f>IF($A9="","",INDEX(編成!$M$16:$AI$71,MATCH($B9,編成!$AI$16:$AI$71,0),8))</f>
        <v>能登島Ｂ</v>
      </c>
      <c r="G9" s="244">
        <f>IF($A9="","",INDEX(編成!$M$16:$AI$71,MATCH($B9,編成!$AI$16:$AI$71,0),10))</f>
        <v>0.46527777777777773</v>
      </c>
      <c r="H9" s="245" t="str">
        <f>IF($A9="","",INDEX(編成!$M$16:$AI$71,MATCH($B9,編成!$AI$16:$AI$71,0),12))</f>
        <v>セブン能登
1st</v>
      </c>
      <c r="I9" s="249">
        <v>1</v>
      </c>
      <c r="J9" s="246" t="s">
        <v>201</v>
      </c>
      <c r="K9" s="249">
        <v>0</v>
      </c>
      <c r="L9" s="247" t="s">
        <v>202</v>
      </c>
      <c r="M9" s="249">
        <v>2</v>
      </c>
      <c r="N9" s="246" t="s">
        <v>203</v>
      </c>
      <c r="O9" s="249">
        <v>3</v>
      </c>
      <c r="P9" s="248" t="str">
        <f>IF($A9="","",INDEX(編成!$M$16:$AI$71,MATCH($B9,編成!$AI$16:$AI$71,0),15))</f>
        <v>ヘミニス
金沢FC
1st</v>
      </c>
      <c r="Q9" s="243" t="str">
        <f>IF($A9="","",INDEX(編成!$M$16:$AI$71,MATCH($B9,編成!$AI$16:$AI$71,0),18))</f>
        <v>ﾂｴｰｹﾞﾝ1st</v>
      </c>
      <c r="R9" s="345" t="str">
        <f>IF($A9="","",INDEX(編成!$M$16:$AI$71,MATCH($B9,編成!$AI$16:$AI$71,0),19))</f>
        <v>ﾃｲﾍﾝｽﾞ1st</v>
      </c>
    </row>
    <row r="10" spans="1:18" ht="15" customHeight="1" x14ac:dyDescent="0.25">
      <c r="A10" s="156">
        <f>IF(MAX(編成!$AI$16:$AI$71)&lt;記入!$B10,"",INDEX(編成!$M$16:$AI$71,MATCH(記入!$B10,編成!$AI$16:$AI$71,0),2))</f>
        <v>181</v>
      </c>
      <c r="B10">
        <v>4</v>
      </c>
      <c r="C10" s="241" t="str">
        <f>IF(A10="","",INDEX(編成!$M$16:$AI$71,MATCH($B10,編成!$AI$16:$AI$71,0),4))</f>
        <v>①</v>
      </c>
      <c r="D10" s="242">
        <f>IF($A10="","",INDEX(編成!$M$16:$AI$71,MATCH($B10,編成!$AI$16:$AI$71,0),5))</f>
        <v>42489</v>
      </c>
      <c r="E10" s="243" t="str">
        <f>IF($A10="","",INDEX(編成!$M$16:$AI$71,MATCH($B10,編成!$AI$16:$AI$71,0),7))</f>
        <v>金</v>
      </c>
      <c r="F10" s="243" t="str">
        <f>IF($A10="","",INDEX(編成!$M$16:$AI$71,MATCH($B10,編成!$AI$16:$AI$71,0),8))</f>
        <v>能登島Ｂ</v>
      </c>
      <c r="G10" s="244">
        <f>IF($A10="","",INDEX(編成!$M$16:$AI$71,MATCH($B10,編成!$AI$16:$AI$71,0),10))</f>
        <v>0.54166666666666663</v>
      </c>
      <c r="H10" s="245" t="str">
        <f>IF($A10="","",INDEX(編成!$M$16:$AI$71,MATCH($B10,編成!$AI$16:$AI$71,0),12))</f>
        <v>ツエーゲン
金沢U-15
1st</v>
      </c>
      <c r="I10" s="249">
        <v>8</v>
      </c>
      <c r="J10" s="246" t="s">
        <v>201</v>
      </c>
      <c r="K10" s="249">
        <v>5</v>
      </c>
      <c r="L10" s="247" t="s">
        <v>202</v>
      </c>
      <c r="M10" s="249">
        <v>0</v>
      </c>
      <c r="N10" s="246" t="s">
        <v>203</v>
      </c>
      <c r="O10" s="249">
        <v>1</v>
      </c>
      <c r="P10" s="248" t="str">
        <f>IF($A10="","",INDEX(編成!$M$16:$AI$71,MATCH($B10,編成!$AI$16:$AI$71,0),15))</f>
        <v>テイヘンズ
FC　1st</v>
      </c>
      <c r="Q10" s="243" t="str">
        <f>IF($A10="","",INDEX(編成!$M$16:$AI$71,MATCH($B10,編成!$AI$16:$AI$71,0),18))</f>
        <v>セブン1st</v>
      </c>
      <c r="R10" s="345" t="str">
        <f>IF($A10="","",INDEX(編成!$M$16:$AI$71,MATCH($B10,編成!$AI$16:$AI$71,0),19))</f>
        <v>ﾍﾐﾆｽ1st</v>
      </c>
    </row>
    <row r="11" spans="1:18" ht="15" customHeight="1" x14ac:dyDescent="0.25">
      <c r="A11" s="156">
        <f>IF(MAX(編成!$AI$16:$AI$71)&lt;記入!$B11,"",INDEX(編成!$M$16:$AI$71,MATCH(記入!$B11,編成!$AI$16:$AI$71,0),2))</f>
        <v>241</v>
      </c>
      <c r="B11">
        <v>5</v>
      </c>
      <c r="C11" s="241" t="str">
        <f>IF(A11="","",INDEX(編成!$M$16:$AI$71,MATCH($B11,編成!$AI$16:$AI$71,0),4))</f>
        <v>②</v>
      </c>
      <c r="D11" s="242">
        <f>IF($A11="","",INDEX(編成!$M$16:$AI$71,MATCH($B11,編成!$AI$16:$AI$71,0),5))</f>
        <v>42491</v>
      </c>
      <c r="E11" s="243" t="str">
        <f>IF($A11="","",INDEX(編成!$M$16:$AI$71,MATCH($B11,編成!$AI$16:$AI$71,0),7))</f>
        <v>日</v>
      </c>
      <c r="F11" s="243" t="str">
        <f>IF($A11="","",INDEX(編成!$M$16:$AI$71,MATCH($B11,編成!$AI$16:$AI$71,0),8))</f>
        <v>能登島Ｂ</v>
      </c>
      <c r="G11" s="244">
        <f>IF($A11="","",INDEX(編成!$M$16:$AI$71,MATCH($B11,編成!$AI$16:$AI$71,0),10))</f>
        <v>0.53472222222222221</v>
      </c>
      <c r="H11" s="245" t="str">
        <f>IF($A11="","",INDEX(編成!$M$16:$AI$71,MATCH($B11,編成!$AI$16:$AI$71,0),12))</f>
        <v>セブン能登
1st</v>
      </c>
      <c r="I11" s="249">
        <v>2</v>
      </c>
      <c r="J11" s="246" t="s">
        <v>198</v>
      </c>
      <c r="K11" s="249">
        <v>1</v>
      </c>
      <c r="L11" s="247" t="s">
        <v>199</v>
      </c>
      <c r="M11" s="249">
        <v>0</v>
      </c>
      <c r="N11" s="246" t="s">
        <v>200</v>
      </c>
      <c r="O11" s="249">
        <v>1</v>
      </c>
      <c r="P11" s="248" t="str">
        <f>IF($A11="","",INDEX(編成!$M$16:$AI$71,MATCH($B11,編成!$AI$16:$AI$71,0),15))</f>
        <v>Riopedra
加賀FC</v>
      </c>
      <c r="Q11" s="243" t="str">
        <f>IF($A11="","",INDEX(編成!$M$16:$AI$71,MATCH($B11,編成!$AI$16:$AI$71,0),18))</f>
        <v>ﾃｲﾍﾝｽﾞ1st</v>
      </c>
      <c r="R11" s="345" t="str">
        <f>IF($A11="","",INDEX(編成!$M$16:$AI$71,MATCH($B11,編成!$AI$16:$AI$71,0),19))</f>
        <v>サザン1st</v>
      </c>
    </row>
    <row r="12" spans="1:18" ht="15" customHeight="1" x14ac:dyDescent="0.25">
      <c r="A12" s="156">
        <f>IF(MAX(編成!$AI$16:$AI$71)&lt;記入!$B12,"",INDEX(編成!$M$16:$AI$71,MATCH(記入!$B12,編成!$AI$16:$AI$71,0),2))</f>
        <v>681</v>
      </c>
      <c r="B12">
        <v>6</v>
      </c>
      <c r="C12" s="241" t="str">
        <f>IF(A12="","",INDEX(編成!$M$16:$AI$71,MATCH($B12,編成!$AI$16:$AI$71,0),4))</f>
        <v>②</v>
      </c>
      <c r="D12" s="242">
        <f>IF($A12="","",INDEX(編成!$M$16:$AI$71,MATCH($B12,編成!$AI$16:$AI$71,0),5))</f>
        <v>42491</v>
      </c>
      <c r="E12" s="243" t="str">
        <f>IF($A12="","",INDEX(編成!$M$16:$AI$71,MATCH($B12,編成!$AI$16:$AI$71,0),7))</f>
        <v>日</v>
      </c>
      <c r="F12" s="243" t="str">
        <f>IF($A12="","",INDEX(編成!$M$16:$AI$71,MATCH($B12,編成!$AI$16:$AI$71,0),8))</f>
        <v>能登島Ｂ</v>
      </c>
      <c r="G12" s="244">
        <f>IF($A12="","",INDEX(編成!$M$16:$AI$71,MATCH($B12,編成!$AI$16:$AI$71,0),10))</f>
        <v>0.61111111111111105</v>
      </c>
      <c r="H12" s="245" t="str">
        <f>IF($A12="","",INDEX(編成!$M$16:$AI$71,MATCH($B12,編成!$AI$16:$AI$71,0),12))</f>
        <v>FC.
SOUTHERN
1st</v>
      </c>
      <c r="I12" s="249">
        <v>10</v>
      </c>
      <c r="J12" s="246" t="s">
        <v>198</v>
      </c>
      <c r="K12" s="249">
        <v>3</v>
      </c>
      <c r="L12" s="247" t="s">
        <v>199</v>
      </c>
      <c r="M12" s="249">
        <v>0</v>
      </c>
      <c r="N12" s="246" t="s">
        <v>200</v>
      </c>
      <c r="O12" s="249">
        <v>0</v>
      </c>
      <c r="P12" s="248" t="str">
        <f>IF($A12="","",INDEX(編成!$M$16:$AI$71,MATCH($B12,編成!$AI$16:$AI$71,0),15))</f>
        <v>テイヘンズ
FC　1st</v>
      </c>
      <c r="Q12" s="243" t="str">
        <f>IF($A12="","",INDEX(編成!$M$16:$AI$71,MATCH($B12,編成!$AI$16:$AI$71,0),18))</f>
        <v>セブン1st</v>
      </c>
      <c r="R12" s="345" t="str">
        <f>IF($A12="","",INDEX(編成!$M$16:$AI$71,MATCH($B12,編成!$AI$16:$AI$71,0),19))</f>
        <v>Riopedra</v>
      </c>
    </row>
    <row r="13" spans="1:18" ht="15" customHeight="1" x14ac:dyDescent="0.25">
      <c r="A13" s="156">
        <f>IF(MAX(編成!$AI$16:$AI$71)&lt;記入!$B13,"",INDEX(編成!$M$16:$AI$71,MATCH(記入!$B13,編成!$AI$16:$AI$71,0),2))</f>
        <v>371</v>
      </c>
      <c r="B13">
        <v>7</v>
      </c>
      <c r="C13" s="241" t="str">
        <f>IF(A13="","",INDEX(編成!$M$16:$AI$71,MATCH($B13,編成!$AI$16:$AI$71,0),4))</f>
        <v>②</v>
      </c>
      <c r="D13" s="242">
        <f>IF($A13="","",INDEX(編成!$M$16:$AI$71,MATCH($B13,編成!$AI$16:$AI$71,0),5))</f>
        <v>42493</v>
      </c>
      <c r="E13" s="243" t="str">
        <f>IF($A13="","",INDEX(編成!$M$16:$AI$71,MATCH($B13,編成!$AI$16:$AI$71,0),7))</f>
        <v>日</v>
      </c>
      <c r="F13" s="243" t="str">
        <f>IF($A13="","",INDEX(編成!$M$16:$AI$71,MATCH($B13,編成!$AI$16:$AI$71,0),8))</f>
        <v>金沢交流</v>
      </c>
      <c r="G13" s="244">
        <f>IF($A13="","",INDEX(編成!$M$16:$AI$71,MATCH($B13,編成!$AI$16:$AI$71,0),10))</f>
        <v>0.39583333333333331</v>
      </c>
      <c r="H13" s="245" t="str">
        <f>IF($A13="","",INDEX(編成!$M$16:$AI$71,MATCH($B13,編成!$AI$16:$AI$71,0),12))</f>
        <v>星稜中学校</v>
      </c>
      <c r="I13" s="249">
        <v>1</v>
      </c>
      <c r="J13" s="246" t="s">
        <v>198</v>
      </c>
      <c r="K13" s="249">
        <v>0</v>
      </c>
      <c r="L13" s="247" t="s">
        <v>199</v>
      </c>
      <c r="M13" s="249">
        <v>0</v>
      </c>
      <c r="N13" s="246" t="s">
        <v>200</v>
      </c>
      <c r="O13" s="249">
        <v>3</v>
      </c>
      <c r="P13" s="248" t="str">
        <f>IF($A13="","",INDEX(編成!$M$16:$AI$71,MATCH($B13,編成!$AI$16:$AI$71,0),15))</f>
        <v>ヘミニス
金沢FC
1st</v>
      </c>
      <c r="Q13" s="243" t="str">
        <f>IF($A13="","",INDEX(編成!$M$16:$AI$71,MATCH($B13,編成!$AI$16:$AI$71,0),18))</f>
        <v>FC小松1st</v>
      </c>
      <c r="R13" s="345" t="str">
        <f>IF($A13="","",INDEX(編成!$M$16:$AI$71,MATCH($B13,編成!$AI$16:$AI$71,0),19))</f>
        <v>ﾂｴｰｹﾞﾝ1st</v>
      </c>
    </row>
    <row r="14" spans="1:18" ht="15" customHeight="1" x14ac:dyDescent="0.25">
      <c r="A14" s="156">
        <f>IF(MAX(編成!$AI$16:$AI$71)&lt;記入!$B14,"",INDEX(編成!$M$16:$AI$71,MATCH(記入!$B14,編成!$AI$16:$AI$71,0),2))</f>
        <v>151</v>
      </c>
      <c r="B14">
        <v>8</v>
      </c>
      <c r="C14" s="241" t="str">
        <f>IF(A14="","",INDEX(編成!$M$16:$AI$71,MATCH($B14,編成!$AI$16:$AI$71,0),4))</f>
        <v>②</v>
      </c>
      <c r="D14" s="242">
        <f>IF($A14="","",INDEX(編成!$M$16:$AI$71,MATCH($B14,編成!$AI$16:$AI$71,0),5))</f>
        <v>42493</v>
      </c>
      <c r="E14" s="243" t="str">
        <f>IF($A14="","",INDEX(編成!$M$16:$AI$71,MATCH($B14,編成!$AI$16:$AI$71,0),7))</f>
        <v>日</v>
      </c>
      <c r="F14" s="243" t="str">
        <f>IF($A14="","",INDEX(編成!$M$16:$AI$71,MATCH($B14,編成!$AI$16:$AI$71,0),8))</f>
        <v>金沢交流</v>
      </c>
      <c r="G14" s="244">
        <f>IF($A14="","",INDEX(編成!$M$16:$AI$71,MATCH($B14,編成!$AI$16:$AI$71,0),10))</f>
        <v>0.47222222222222227</v>
      </c>
      <c r="H14" s="245" t="str">
        <f>IF($A14="","",INDEX(編成!$M$16:$AI$71,MATCH($B14,編成!$AI$16:$AI$71,0),12))</f>
        <v>ツエーゲン
金沢U-15
1st</v>
      </c>
      <c r="I14" s="249">
        <v>10</v>
      </c>
      <c r="J14" s="246" t="s">
        <v>198</v>
      </c>
      <c r="K14" s="249">
        <v>5</v>
      </c>
      <c r="L14" s="247" t="s">
        <v>199</v>
      </c>
      <c r="M14" s="249">
        <v>0</v>
      </c>
      <c r="N14" s="246" t="s">
        <v>200</v>
      </c>
      <c r="O14" s="249">
        <v>0</v>
      </c>
      <c r="P14" s="248" t="str">
        <f>IF($A14="","",INDEX(編成!$M$16:$AI$71,MATCH($B14,編成!$AI$16:$AI$71,0),15))</f>
        <v>FC小松
1st</v>
      </c>
      <c r="Q14" s="243" t="str">
        <f>IF($A14="","",INDEX(編成!$M$16:$AI$71,MATCH($B14,編成!$AI$16:$AI$71,0),18))</f>
        <v>ﾍﾐﾆｽ1st</v>
      </c>
      <c r="R14" s="345" t="str">
        <f>IF($A14="","",INDEX(編成!$M$16:$AI$71,MATCH($B14,編成!$AI$16:$AI$71,0),19))</f>
        <v>FC小松1st</v>
      </c>
    </row>
    <row r="15" spans="1:18" ht="15" customHeight="1" x14ac:dyDescent="0.25">
      <c r="A15" s="156">
        <f>IF(MAX(編成!$AI$16:$AI$71)&lt;記入!$B15,"",INDEX(編成!$M$16:$AI$71,MATCH(記入!$B15,編成!$AI$16:$AI$71,0),2))</f>
        <v>141</v>
      </c>
      <c r="B15">
        <v>9</v>
      </c>
      <c r="C15" s="241" t="str">
        <f>IF(A15="","",INDEX(編成!$M$16:$AI$71,MATCH($B15,編成!$AI$16:$AI$71,0),4))</f>
        <v>③</v>
      </c>
      <c r="D15" s="242">
        <f>IF($A15="","",INDEX(編成!$M$16:$AI$71,MATCH($B15,編成!$AI$16:$AI$71,0),5))</f>
        <v>42497</v>
      </c>
      <c r="E15" s="243" t="str">
        <f>IF($A15="","",INDEX(編成!$M$16:$AI$71,MATCH($B15,編成!$AI$16:$AI$71,0),7))</f>
        <v>土</v>
      </c>
      <c r="F15" s="243" t="str">
        <f>IF($A15="","",INDEX(編成!$M$16:$AI$71,MATCH($B15,編成!$AI$16:$AI$71,0),8))</f>
        <v>金沢交流</v>
      </c>
      <c r="G15" s="244">
        <f>IF($A15="","",INDEX(編成!$M$16:$AI$71,MATCH($B15,編成!$AI$16:$AI$71,0),10))</f>
        <v>0.4513888888888889</v>
      </c>
      <c r="H15" s="245" t="str">
        <f>IF($A15="","",INDEX(編成!$M$16:$AI$71,MATCH($B15,編成!$AI$16:$AI$71,0),12))</f>
        <v>ツエーゲン
金沢U-15
1st</v>
      </c>
      <c r="I15" s="249">
        <v>7</v>
      </c>
      <c r="J15" s="246" t="s">
        <v>198</v>
      </c>
      <c r="K15" s="249">
        <v>5</v>
      </c>
      <c r="L15" s="247" t="s">
        <v>199</v>
      </c>
      <c r="M15" s="249">
        <v>0</v>
      </c>
      <c r="N15" s="246" t="s">
        <v>200</v>
      </c>
      <c r="O15" s="249">
        <v>0</v>
      </c>
      <c r="P15" s="248" t="str">
        <f>IF($A15="","",INDEX(編成!$M$16:$AI$71,MATCH($B15,編成!$AI$16:$AI$71,0),15))</f>
        <v>Riopedra
加賀FC</v>
      </c>
      <c r="Q15" s="243" t="str">
        <f>IF($A15="","",INDEX(編成!$M$16:$AI$71,MATCH($B15,編成!$AI$16:$AI$71,0),18))</f>
        <v>育成</v>
      </c>
      <c r="R15" s="345" t="str">
        <f>IF($A15="","",INDEX(編成!$M$16:$AI$71,MATCH($B15,編成!$AI$16:$AI$71,0),19))</f>
        <v>育成</v>
      </c>
    </row>
    <row r="16" spans="1:18" ht="15" customHeight="1" x14ac:dyDescent="0.25">
      <c r="A16" s="156">
        <f>IF(MAX(編成!$AI$16:$AI$71)&lt;記入!$B16,"",INDEX(編成!$M$16:$AI$71,MATCH(記入!$B16,編成!$AI$16:$AI$71,0),2))</f>
        <v>781</v>
      </c>
      <c r="B16">
        <v>10</v>
      </c>
      <c r="C16" s="241" t="str">
        <f>IF(A16="","",INDEX(編成!$M$16:$AI$71,MATCH($B16,編成!$AI$16:$AI$71,0),4))</f>
        <v>③</v>
      </c>
      <c r="D16" s="242">
        <f>IF($A16="","",INDEX(編成!$M$16:$AI$71,MATCH($B16,編成!$AI$16:$AI$71,0),5))</f>
        <v>42498</v>
      </c>
      <c r="E16" s="243" t="str">
        <f>IF($A16="","",INDEX(編成!$M$16:$AI$71,MATCH($B16,編成!$AI$16:$AI$71,0),7))</f>
        <v>日</v>
      </c>
      <c r="F16" s="243" t="str">
        <f>IF($A16="","",INDEX(編成!$M$16:$AI$71,MATCH($B16,編成!$AI$16:$AI$71,0),8))</f>
        <v>金沢交流</v>
      </c>
      <c r="G16" s="244">
        <f>IF($A16="","",INDEX(編成!$M$16:$AI$71,MATCH($B16,編成!$AI$16:$AI$71,0),10))</f>
        <v>0.375</v>
      </c>
      <c r="H16" s="245" t="str">
        <f>IF($A16="","",INDEX(編成!$M$16:$AI$71,MATCH($B16,編成!$AI$16:$AI$71,0),12))</f>
        <v>ヘミニス
金沢FC
1st</v>
      </c>
      <c r="I16" s="249">
        <v>3</v>
      </c>
      <c r="J16" s="246" t="s">
        <v>198</v>
      </c>
      <c r="K16" s="249">
        <v>0</v>
      </c>
      <c r="L16" s="247" t="s">
        <v>199</v>
      </c>
      <c r="M16" s="249">
        <v>0</v>
      </c>
      <c r="N16" s="246" t="s">
        <v>200</v>
      </c>
      <c r="O16" s="249">
        <v>0</v>
      </c>
      <c r="P16" s="248" t="str">
        <f>IF($A16="","",INDEX(編成!$M$16:$AI$71,MATCH($B16,編成!$AI$16:$AI$71,0),15))</f>
        <v>テイヘンズ
FC　1st</v>
      </c>
      <c r="Q16" s="243" t="str">
        <f>IF($A16="","",INDEX(編成!$M$16:$AI$71,MATCH($B16,編成!$AI$16:$AI$71,0),18))</f>
        <v>星稜中</v>
      </c>
      <c r="R16" s="345" t="str">
        <f>IF($A16="","",INDEX(編成!$M$16:$AI$71,MATCH($B16,編成!$AI$16:$AI$71,0),19))</f>
        <v>FC小松1st</v>
      </c>
    </row>
    <row r="17" spans="1:18" ht="15" customHeight="1" x14ac:dyDescent="0.25">
      <c r="A17" s="156">
        <f>IF(MAX(編成!$AI$16:$AI$71)&lt;記入!$B17,"",INDEX(編成!$M$16:$AI$71,MATCH(記入!$B17,編成!$AI$16:$AI$71,0),2))</f>
        <v>351</v>
      </c>
      <c r="B17">
        <v>11</v>
      </c>
      <c r="C17" s="241" t="str">
        <f>IF(A17="","",INDEX(編成!$M$16:$AI$71,MATCH($B17,編成!$AI$16:$AI$71,0),4))</f>
        <v>③</v>
      </c>
      <c r="D17" s="242">
        <f>IF($A17="","",INDEX(編成!$M$16:$AI$71,MATCH($B17,編成!$AI$16:$AI$71,0),5))</f>
        <v>42498</v>
      </c>
      <c r="E17" s="243" t="str">
        <f>IF($A17="","",INDEX(編成!$M$16:$AI$71,MATCH($B17,編成!$AI$16:$AI$71,0),7))</f>
        <v>日</v>
      </c>
      <c r="F17" s="243" t="str">
        <f>IF($A17="","",INDEX(編成!$M$16:$AI$71,MATCH($B17,編成!$AI$16:$AI$71,0),8))</f>
        <v>金沢交流</v>
      </c>
      <c r="G17" s="244">
        <f>IF($A17="","",INDEX(編成!$M$16:$AI$71,MATCH($B17,編成!$AI$16:$AI$71,0),10))</f>
        <v>0.4513888888888889</v>
      </c>
      <c r="H17" s="245" t="str">
        <f>IF($A17="","",INDEX(編成!$M$16:$AI$71,MATCH($B17,編成!$AI$16:$AI$71,0),12))</f>
        <v>星稜中学校</v>
      </c>
      <c r="I17" s="249">
        <v>2</v>
      </c>
      <c r="J17" s="246" t="s">
        <v>198</v>
      </c>
      <c r="K17" s="249">
        <v>0</v>
      </c>
      <c r="L17" s="247" t="s">
        <v>199</v>
      </c>
      <c r="M17" s="249">
        <v>0</v>
      </c>
      <c r="N17" s="246" t="s">
        <v>200</v>
      </c>
      <c r="O17" s="249">
        <v>1</v>
      </c>
      <c r="P17" s="248" t="str">
        <f>IF($A17="","",INDEX(編成!$M$16:$AI$71,MATCH($B17,編成!$AI$16:$AI$71,0),15))</f>
        <v>FC小松
1st</v>
      </c>
      <c r="Q17" s="243" t="str">
        <f>IF($A17="","",INDEX(編成!$M$16:$AI$71,MATCH($B17,編成!$AI$16:$AI$71,0),18))</f>
        <v>ﾍﾐﾆｽ1st</v>
      </c>
      <c r="R17" s="345" t="str">
        <f>IF($A17="","",INDEX(編成!$M$16:$AI$71,MATCH($B17,編成!$AI$16:$AI$71,0),19))</f>
        <v>ﾃｲﾍﾝｽﾞ1st</v>
      </c>
    </row>
    <row r="18" spans="1:18" ht="15" customHeight="1" x14ac:dyDescent="0.25">
      <c r="A18" s="156">
        <f>IF(MAX(編成!$AI$16:$AI$71)&lt;記入!$B18,"",INDEX(編成!$M$16:$AI$71,MATCH(記入!$B18,編成!$AI$16:$AI$71,0),2))</f>
        <v>261</v>
      </c>
      <c r="B18">
        <v>12</v>
      </c>
      <c r="C18" s="241" t="str">
        <f>IF(A18="","",INDEX(編成!$M$16:$AI$71,MATCH($B18,編成!$AI$16:$AI$71,0),4))</f>
        <v>③</v>
      </c>
      <c r="D18" s="242">
        <f>IF($A18="","",INDEX(編成!$M$16:$AI$71,MATCH($B18,編成!$AI$16:$AI$71,0),5))</f>
        <v>42498</v>
      </c>
      <c r="E18" s="243" t="str">
        <f>IF($A18="","",INDEX(編成!$M$16:$AI$71,MATCH($B18,編成!$AI$16:$AI$71,0),7))</f>
        <v>日</v>
      </c>
      <c r="F18" s="243" t="str">
        <f>IF($A18="","",INDEX(編成!$M$16:$AI$71,MATCH($B18,編成!$AI$16:$AI$71,0),8))</f>
        <v>和倉Ａ</v>
      </c>
      <c r="G18" s="244">
        <f>IF($A18="","",INDEX(編成!$M$16:$AI$71,MATCH($B18,編成!$AI$16:$AI$71,0),10))</f>
        <v>0.39583333333333331</v>
      </c>
      <c r="H18" s="245" t="str">
        <f>IF($A18="","",INDEX(編成!$M$16:$AI$71,MATCH($B18,編成!$AI$16:$AI$71,0),12))</f>
        <v>セブン能登
1st</v>
      </c>
      <c r="I18" s="249">
        <v>1</v>
      </c>
      <c r="J18" s="246" t="s">
        <v>198</v>
      </c>
      <c r="K18" s="249">
        <v>1</v>
      </c>
      <c r="L18" s="247" t="s">
        <v>199</v>
      </c>
      <c r="M18" s="249">
        <v>0</v>
      </c>
      <c r="N18" s="246" t="s">
        <v>200</v>
      </c>
      <c r="O18" s="249">
        <v>1</v>
      </c>
      <c r="P18" s="248" t="str">
        <f>IF($A18="","",INDEX(編成!$M$16:$AI$71,MATCH($B18,編成!$AI$16:$AI$71,0),15))</f>
        <v>FC.
SOUTHERN
1st</v>
      </c>
      <c r="Q18" s="243" t="str">
        <f>IF($A18="","",INDEX(編成!$M$16:$AI$71,MATCH($B18,編成!$AI$16:$AI$71,0),18))</f>
        <v>育成</v>
      </c>
      <c r="R18" s="345" t="str">
        <f>IF($A18="","",INDEX(編成!$M$16:$AI$71,MATCH($B18,編成!$AI$16:$AI$71,0),19))</f>
        <v>育成</v>
      </c>
    </row>
    <row r="19" spans="1:18" ht="15" customHeight="1" x14ac:dyDescent="0.25">
      <c r="A19" s="156">
        <f>IF(MAX(編成!$AI$16:$AI$71)&lt;記入!$B19,"",INDEX(編成!$M$16:$AI$71,MATCH(記入!$B19,編成!$AI$16:$AI$71,0),2))</f>
        <v>161</v>
      </c>
      <c r="B19">
        <v>13</v>
      </c>
      <c r="C19" s="241" t="str">
        <f>IF(A19="","",INDEX(編成!$M$16:$AI$71,MATCH($B19,編成!$AI$16:$AI$71,0),4))</f>
        <v>④</v>
      </c>
      <c r="D19" s="242">
        <f>IF($A19="","",INDEX(編成!$M$16:$AI$71,MATCH($B19,編成!$AI$16:$AI$71,0),5))</f>
        <v>42504</v>
      </c>
      <c r="E19" s="243" t="str">
        <f>IF($A19="","",INDEX(編成!$M$16:$AI$71,MATCH($B19,編成!$AI$16:$AI$71,0),7))</f>
        <v>土</v>
      </c>
      <c r="F19" s="243" t="str">
        <f>IF($A19="","",INDEX(編成!$M$16:$AI$71,MATCH($B19,編成!$AI$16:$AI$71,0),8))</f>
        <v>金沢交流</v>
      </c>
      <c r="G19" s="244">
        <f>IF($A19="","",INDEX(編成!$M$16:$AI$71,MATCH($B19,編成!$AI$16:$AI$71,0),10))</f>
        <v>0.39583333333333331</v>
      </c>
      <c r="H19" s="245" t="str">
        <f>IF($A19="","",INDEX(編成!$M$16:$AI$71,MATCH($B19,編成!$AI$16:$AI$71,0),12))</f>
        <v>ツエーゲン
金沢U-15
1st</v>
      </c>
      <c r="I19" s="249">
        <v>0</v>
      </c>
      <c r="J19" s="246" t="s">
        <v>198</v>
      </c>
      <c r="K19" s="249">
        <v>0</v>
      </c>
      <c r="L19" s="247" t="s">
        <v>199</v>
      </c>
      <c r="M19" s="249">
        <v>1</v>
      </c>
      <c r="N19" s="246" t="s">
        <v>200</v>
      </c>
      <c r="O19" s="249">
        <v>2</v>
      </c>
      <c r="P19" s="248" t="str">
        <f>IF($A19="","",INDEX(編成!$M$16:$AI$71,MATCH($B19,編成!$AI$16:$AI$71,0),15))</f>
        <v>FC.
SOUTHERN
1st</v>
      </c>
      <c r="Q19" s="243" t="str">
        <f>IF($A19="","",INDEX(編成!$M$16:$AI$71,MATCH($B19,編成!$AI$16:$AI$71,0),18))</f>
        <v>セブン1st</v>
      </c>
      <c r="R19" s="345" t="str">
        <f>IF($A19="","",INDEX(編成!$M$16:$AI$71,MATCH($B19,編成!$AI$16:$AI$71,0),19))</f>
        <v>ﾃｲﾍﾝｽﾞ1st</v>
      </c>
    </row>
    <row r="20" spans="1:18" ht="15" customHeight="1" x14ac:dyDescent="0.25">
      <c r="A20" s="156">
        <f>IF(MAX(編成!$AI$16:$AI$71)&lt;記入!$B20,"",INDEX(編成!$M$16:$AI$71,MATCH(記入!$B20,編成!$AI$16:$AI$71,0),2))</f>
        <v>281</v>
      </c>
      <c r="B20">
        <v>14</v>
      </c>
      <c r="C20" s="241" t="str">
        <f>IF(A20="","",INDEX(編成!$M$16:$AI$71,MATCH($B20,編成!$AI$16:$AI$71,0),4))</f>
        <v>④</v>
      </c>
      <c r="D20" s="242">
        <f>IF($A20="","",INDEX(編成!$M$16:$AI$71,MATCH($B20,編成!$AI$16:$AI$71,0),5))</f>
        <v>42504</v>
      </c>
      <c r="E20" s="243" t="str">
        <f>IF($A20="","",INDEX(編成!$M$16:$AI$71,MATCH($B20,編成!$AI$16:$AI$71,0),7))</f>
        <v>土</v>
      </c>
      <c r="F20" s="243" t="str">
        <f>IF($A20="","",INDEX(編成!$M$16:$AI$71,MATCH($B20,編成!$AI$16:$AI$71,0),8))</f>
        <v>金沢交流</v>
      </c>
      <c r="G20" s="244">
        <f>IF($A20="","",INDEX(編成!$M$16:$AI$71,MATCH($B20,編成!$AI$16:$AI$71,0),10))</f>
        <v>0.51388888888888895</v>
      </c>
      <c r="H20" s="245" t="str">
        <f>IF($A20="","",INDEX(編成!$M$16:$AI$71,MATCH($B20,編成!$AI$16:$AI$71,0),12))</f>
        <v>セブン能登
1st</v>
      </c>
      <c r="I20" s="249">
        <v>5</v>
      </c>
      <c r="J20" s="246" t="s">
        <v>198</v>
      </c>
      <c r="K20" s="249">
        <v>3</v>
      </c>
      <c r="L20" s="247" t="s">
        <v>199</v>
      </c>
      <c r="M20" s="249">
        <v>0</v>
      </c>
      <c r="N20" s="246" t="s">
        <v>200</v>
      </c>
      <c r="O20" s="249">
        <v>0</v>
      </c>
      <c r="P20" s="248" t="str">
        <f>IF($A20="","",INDEX(編成!$M$16:$AI$71,MATCH($B20,編成!$AI$16:$AI$71,0),15))</f>
        <v>テイヘンズ
FC　1st</v>
      </c>
      <c r="Q20" s="243" t="str">
        <f>IF($A20="","",INDEX(編成!$M$16:$AI$71,MATCH($B20,編成!$AI$16:$AI$71,0),18))</f>
        <v>サザン1st</v>
      </c>
      <c r="R20" s="345" t="str">
        <f>IF($A20="","",INDEX(編成!$M$16:$AI$71,MATCH($B20,編成!$AI$16:$AI$71,0),19))</f>
        <v>ﾂｴｰｹﾞﾝ1st</v>
      </c>
    </row>
    <row r="21" spans="1:18" ht="15" customHeight="1" x14ac:dyDescent="0.25">
      <c r="A21" s="156">
        <f>IF(MAX(編成!$AI$16:$AI$71)&lt;記入!$B21,"",INDEX(編成!$M$16:$AI$71,MATCH(記入!$B21,編成!$AI$16:$AI$71,0),2))</f>
        <v>471</v>
      </c>
      <c r="B21">
        <v>15</v>
      </c>
      <c r="C21" s="241" t="str">
        <f>IF(A21="","",INDEX(編成!$M$16:$AI$71,MATCH($B21,編成!$AI$16:$AI$71,0),4))</f>
        <v>④</v>
      </c>
      <c r="D21" s="242">
        <f>IF($A21="","",INDEX(編成!$M$16:$AI$71,MATCH($B21,編成!$AI$16:$AI$71,0),5))</f>
        <v>42505</v>
      </c>
      <c r="E21" s="243" t="str">
        <f>IF($A21="","",INDEX(編成!$M$16:$AI$71,MATCH($B21,編成!$AI$16:$AI$71,0),7))</f>
        <v>日</v>
      </c>
      <c r="F21" s="243" t="str">
        <f>IF($A21="","",INDEX(編成!$M$16:$AI$71,MATCH($B21,編成!$AI$16:$AI$71,0),8))</f>
        <v>かほく市S</v>
      </c>
      <c r="G21" s="244">
        <f>IF($A21="","",INDEX(編成!$M$16:$AI$71,MATCH($B21,編成!$AI$16:$AI$71,0),10))</f>
        <v>0.63194444444444442</v>
      </c>
      <c r="H21" s="245" t="str">
        <f>IF($A21="","",INDEX(編成!$M$16:$AI$71,MATCH($B21,編成!$AI$16:$AI$71,0),12))</f>
        <v>Riopedra
加賀FC</v>
      </c>
      <c r="I21" s="249">
        <v>0</v>
      </c>
      <c r="J21" s="246" t="s">
        <v>198</v>
      </c>
      <c r="K21" s="249">
        <v>0</v>
      </c>
      <c r="L21" s="247" t="s">
        <v>199</v>
      </c>
      <c r="M21" s="249">
        <v>0</v>
      </c>
      <c r="N21" s="246" t="s">
        <v>200</v>
      </c>
      <c r="O21" s="249">
        <v>3</v>
      </c>
      <c r="P21" s="248" t="str">
        <f>IF($A21="","",INDEX(編成!$M$16:$AI$71,MATCH($B21,編成!$AI$16:$AI$71,0),15))</f>
        <v>ヘミニス
金沢FC
1st</v>
      </c>
      <c r="Q21" s="243" t="str">
        <f>IF($A21="","",INDEX(編成!$M$16:$AI$71,MATCH($B21,編成!$AI$16:$AI$71,0),18))</f>
        <v>育成</v>
      </c>
      <c r="R21" s="345" t="str">
        <f>IF($A21="","",INDEX(編成!$M$16:$AI$71,MATCH($B21,編成!$AI$16:$AI$71,0),19))</f>
        <v>育成</v>
      </c>
    </row>
    <row r="22" spans="1:18" ht="15" customHeight="1" x14ac:dyDescent="0.25">
      <c r="A22" s="156">
        <f>IF(MAX(編成!$AI$16:$AI$71)&lt;記入!$B22,"",INDEX(編成!$M$16:$AI$71,MATCH(記入!$B22,編成!$AI$16:$AI$71,0),2))</f>
        <v>481</v>
      </c>
      <c r="B22">
        <v>16</v>
      </c>
      <c r="C22" s="241" t="str">
        <f>IF(A22="","",INDEX(編成!$M$16:$AI$71,MATCH($B22,編成!$AI$16:$AI$71,0),4))</f>
        <v>⑤</v>
      </c>
      <c r="D22" s="242">
        <f>IF($A22="","",INDEX(編成!$M$16:$AI$71,MATCH($B22,編成!$AI$16:$AI$71,0),5))</f>
        <v>42512</v>
      </c>
      <c r="E22" s="243" t="str">
        <f>IF($A22="","",INDEX(編成!$M$16:$AI$71,MATCH($B22,編成!$AI$16:$AI$71,0),7))</f>
        <v>日</v>
      </c>
      <c r="F22" s="243" t="str">
        <f>IF($A22="","",INDEX(編成!$M$16:$AI$71,MATCH($B22,編成!$AI$16:$AI$71,0),8))</f>
        <v>加賀陸上</v>
      </c>
      <c r="G22" s="244">
        <f>IF($A22="","",INDEX(編成!$M$16:$AI$71,MATCH($B22,編成!$AI$16:$AI$71,0),10))</f>
        <v>0.41666666666666669</v>
      </c>
      <c r="H22" s="245" t="str">
        <f>IF($A22="","",INDEX(編成!$M$16:$AI$71,MATCH($B22,編成!$AI$16:$AI$71,0),12))</f>
        <v>Riopedra
加賀FC</v>
      </c>
      <c r="I22" s="249">
        <v>3</v>
      </c>
      <c r="J22" s="246" t="s">
        <v>198</v>
      </c>
      <c r="K22" s="249">
        <v>1</v>
      </c>
      <c r="L22" s="247" t="s">
        <v>199</v>
      </c>
      <c r="M22" s="249">
        <v>0</v>
      </c>
      <c r="N22" s="246" t="s">
        <v>200</v>
      </c>
      <c r="O22" s="249">
        <v>1</v>
      </c>
      <c r="P22" s="248" t="str">
        <f>IF($A22="","",INDEX(編成!$M$16:$AI$71,MATCH($B22,編成!$AI$16:$AI$71,0),15))</f>
        <v>テイヘンズ
FC　1st</v>
      </c>
      <c r="Q22" s="243" t="str">
        <f>IF($A22="","",INDEX(編成!$M$16:$AI$71,MATCH($B22,編成!$AI$16:$AI$71,0),18))</f>
        <v>ﾍﾐﾆｽ1st</v>
      </c>
      <c r="R22" s="345" t="str">
        <f>IF($A22="","",INDEX(編成!$M$16:$AI$71,MATCH($B22,編成!$AI$16:$AI$71,0),19))</f>
        <v>FC小松1st</v>
      </c>
    </row>
    <row r="23" spans="1:18" ht="15" customHeight="1" x14ac:dyDescent="0.25">
      <c r="A23" s="156">
        <f>IF(MAX(編成!$AI$16:$AI$71)&lt;記入!$B23,"",INDEX(編成!$M$16:$AI$71,MATCH(記入!$B23,編成!$AI$16:$AI$71,0),2))</f>
        <v>571</v>
      </c>
      <c r="B23">
        <v>17</v>
      </c>
      <c r="C23" s="241" t="str">
        <f>IF(A23="","",INDEX(編成!$M$16:$AI$71,MATCH($B23,編成!$AI$16:$AI$71,0),4))</f>
        <v>⑤</v>
      </c>
      <c r="D23" s="242">
        <f>IF($A23="","",INDEX(編成!$M$16:$AI$71,MATCH($B23,編成!$AI$16:$AI$71,0),5))</f>
        <v>42512</v>
      </c>
      <c r="E23" s="243" t="str">
        <f>IF($A23="","",INDEX(編成!$M$16:$AI$71,MATCH($B23,編成!$AI$16:$AI$71,0),7))</f>
        <v>日</v>
      </c>
      <c r="F23" s="243" t="str">
        <f>IF($A23="","",INDEX(編成!$M$16:$AI$71,MATCH($B23,編成!$AI$16:$AI$71,0),8))</f>
        <v>加賀陸上</v>
      </c>
      <c r="G23" s="244">
        <f>IF($A23="","",INDEX(編成!$M$16:$AI$71,MATCH($B23,編成!$AI$16:$AI$71,0),10))</f>
        <v>0.49305555555555558</v>
      </c>
      <c r="H23" s="245" t="str">
        <f>IF($A23="","",INDEX(編成!$M$16:$AI$71,MATCH($B23,編成!$AI$16:$AI$71,0),12))</f>
        <v>FC小松
1st</v>
      </c>
      <c r="I23" s="249">
        <v>0</v>
      </c>
      <c r="J23" s="246" t="s">
        <v>198</v>
      </c>
      <c r="K23" s="249">
        <v>0</v>
      </c>
      <c r="L23" s="247" t="s">
        <v>199</v>
      </c>
      <c r="M23" s="249">
        <v>0</v>
      </c>
      <c r="N23" s="246" t="s">
        <v>200</v>
      </c>
      <c r="O23" s="249">
        <v>1</v>
      </c>
      <c r="P23" s="248" t="str">
        <f>IF($A23="","",INDEX(編成!$M$16:$AI$71,MATCH($B23,編成!$AI$16:$AI$71,0),15))</f>
        <v>ヘミニス
金沢FC
1st</v>
      </c>
      <c r="Q23" s="243" t="str">
        <f>IF($A23="","",INDEX(編成!$M$16:$AI$71,MATCH($B23,編成!$AI$16:$AI$71,0),18))</f>
        <v>ﾃｲﾍﾝｽﾞ1st</v>
      </c>
      <c r="R23" s="345" t="str">
        <f>IF($A23="","",INDEX(編成!$M$16:$AI$71,MATCH($B23,編成!$AI$16:$AI$71,0),19))</f>
        <v>Riopedra</v>
      </c>
    </row>
    <row r="24" spans="1:18" ht="15" customHeight="1" x14ac:dyDescent="0.25">
      <c r="A24" s="156">
        <f>IF(MAX(編成!$AI$16:$AI$71)&lt;記入!$B24,"",INDEX(編成!$M$16:$AI$71,MATCH(記入!$B24,編成!$AI$16:$AI$71,0),2))</f>
        <v>171</v>
      </c>
      <c r="B24">
        <v>18</v>
      </c>
      <c r="C24" s="241" t="str">
        <f>IF(A24="","",INDEX(編成!$M$16:$AI$71,MATCH($B24,編成!$AI$16:$AI$71,0),4))</f>
        <v>⑥</v>
      </c>
      <c r="D24" s="242">
        <f>IF($A24="","",INDEX(編成!$M$16:$AI$71,MATCH($B24,編成!$AI$16:$AI$71,0),5))</f>
        <v>42518</v>
      </c>
      <c r="E24" s="243" t="str">
        <f>IF($A24="","",INDEX(編成!$M$16:$AI$71,MATCH($B24,編成!$AI$16:$AI$71,0),7))</f>
        <v>土</v>
      </c>
      <c r="F24" s="243" t="str">
        <f>IF($A24="","",INDEX(編成!$M$16:$AI$71,MATCH($B24,編成!$AI$16:$AI$71,0),8))</f>
        <v>金沢市民</v>
      </c>
      <c r="G24" s="244">
        <f>IF($A24="","",INDEX(編成!$M$16:$AI$71,MATCH($B24,編成!$AI$16:$AI$71,0),10))</f>
        <v>0.41666666666666669</v>
      </c>
      <c r="H24" s="245" t="str">
        <f>IF($A24="","",INDEX(編成!$M$16:$AI$71,MATCH($B24,編成!$AI$16:$AI$71,0),12))</f>
        <v>ツエーゲン
金沢U-15
1st</v>
      </c>
      <c r="I24" s="249">
        <v>1</v>
      </c>
      <c r="J24" s="246" t="s">
        <v>198</v>
      </c>
      <c r="K24" s="249">
        <v>0</v>
      </c>
      <c r="L24" s="247" t="s">
        <v>199</v>
      </c>
      <c r="M24" s="249">
        <v>0</v>
      </c>
      <c r="N24" s="246" t="s">
        <v>200</v>
      </c>
      <c r="O24" s="249">
        <v>0</v>
      </c>
      <c r="P24" s="248" t="str">
        <f>IF($A24="","",INDEX(編成!$M$16:$AI$71,MATCH($B24,編成!$AI$16:$AI$71,0),15))</f>
        <v>ヘミニス
金沢FC
1st</v>
      </c>
      <c r="Q24" s="243" t="str">
        <f>IF($A24="","",INDEX(編成!$M$16:$AI$71,MATCH($B24,編成!$AI$16:$AI$71,0),18))</f>
        <v>FC小松1st</v>
      </c>
      <c r="R24" s="345" t="str">
        <f>IF($A24="","",INDEX(編成!$M$16:$AI$71,MATCH($B24,編成!$AI$16:$AI$71,0),19))</f>
        <v>セブン1st</v>
      </c>
    </row>
    <row r="25" spans="1:18" ht="15" customHeight="1" x14ac:dyDescent="0.25">
      <c r="A25" s="156">
        <f>IF(MAX(編成!$AI$16:$AI$71)&lt;記入!$B25,"",INDEX(編成!$M$16:$AI$71,MATCH(記入!$B25,編成!$AI$16:$AI$71,0),2))</f>
        <v>251</v>
      </c>
      <c r="B25">
        <v>19</v>
      </c>
      <c r="C25" s="241" t="str">
        <f>IF(A25="","",INDEX(編成!$M$16:$AI$71,MATCH($B25,編成!$AI$16:$AI$71,0),4))</f>
        <v>⑥</v>
      </c>
      <c r="D25" s="242">
        <f>IF($A25="","",INDEX(編成!$M$16:$AI$71,MATCH($B25,編成!$AI$16:$AI$71,0),5))</f>
        <v>42518</v>
      </c>
      <c r="E25" s="243" t="str">
        <f>IF($A25="","",INDEX(編成!$M$16:$AI$71,MATCH($B25,編成!$AI$16:$AI$71,0),7))</f>
        <v>土</v>
      </c>
      <c r="F25" s="243" t="str">
        <f>IF($A25="","",INDEX(編成!$M$16:$AI$71,MATCH($B25,編成!$AI$16:$AI$71,0),8))</f>
        <v>金沢市民</v>
      </c>
      <c r="G25" s="244">
        <f>IF($A25="","",INDEX(編成!$M$16:$AI$71,MATCH($B25,編成!$AI$16:$AI$71,0),10))</f>
        <v>0.49305555555555558</v>
      </c>
      <c r="H25" s="245" t="str">
        <f>IF($A25="","",INDEX(編成!$M$16:$AI$71,MATCH($B25,編成!$AI$16:$AI$71,0),12))</f>
        <v>セブン能登
1st</v>
      </c>
      <c r="I25" s="249">
        <v>2</v>
      </c>
      <c r="J25" s="246" t="s">
        <v>198</v>
      </c>
      <c r="K25" s="249">
        <v>0</v>
      </c>
      <c r="L25" s="247" t="s">
        <v>199</v>
      </c>
      <c r="M25" s="249">
        <v>0</v>
      </c>
      <c r="N25" s="246" t="s">
        <v>200</v>
      </c>
      <c r="O25" s="249">
        <v>1</v>
      </c>
      <c r="P25" s="248" t="str">
        <f>IF($A25="","",INDEX(編成!$M$16:$AI$71,MATCH($B25,編成!$AI$16:$AI$71,0),15))</f>
        <v>FC小松
1st</v>
      </c>
      <c r="Q25" s="243" t="str">
        <f>IF($A25="","",INDEX(編成!$M$16:$AI$71,MATCH($B25,編成!$AI$16:$AI$71,0),18))</f>
        <v>ﾂｴｰｹﾞﾝ1st</v>
      </c>
      <c r="R25" s="345" t="str">
        <f>IF($A25="","",INDEX(編成!$M$16:$AI$71,MATCH($B25,編成!$AI$16:$AI$71,0),19))</f>
        <v>ﾍﾐﾆｽ1st</v>
      </c>
    </row>
    <row r="26" spans="1:18" ht="15" customHeight="1" x14ac:dyDescent="0.25">
      <c r="A26" s="156">
        <f>IF(MAX(編成!$AI$16:$AI$71)&lt;記入!$B26,"",INDEX(編成!$M$16:$AI$71,MATCH(記入!$B26,編成!$AI$16:$AI$71,0),2))</f>
        <v>361</v>
      </c>
      <c r="B26">
        <v>20</v>
      </c>
      <c r="C26" s="241" t="str">
        <f>IF(A26="","",INDEX(編成!$M$16:$AI$71,MATCH($B26,編成!$AI$16:$AI$71,0),4))</f>
        <v>⑥</v>
      </c>
      <c r="D26" s="242">
        <f>IF($A26="","",INDEX(編成!$M$16:$AI$71,MATCH($B26,編成!$AI$16:$AI$71,0),5))</f>
        <v>42519</v>
      </c>
      <c r="E26" s="243" t="str">
        <f>IF($A26="","",INDEX(編成!$M$16:$AI$71,MATCH($B26,編成!$AI$16:$AI$71,0),7))</f>
        <v>日</v>
      </c>
      <c r="F26" s="243" t="str">
        <f>IF($A26="","",INDEX(編成!$M$16:$AI$71,MATCH($B26,編成!$AI$16:$AI$71,0),8))</f>
        <v>星稜ｻｯｶｰ場</v>
      </c>
      <c r="G26" s="244">
        <f>IF($A26="","",INDEX(編成!$M$16:$AI$71,MATCH($B26,編成!$AI$16:$AI$71,0),10))</f>
        <v>0.55555555555555558</v>
      </c>
      <c r="H26" s="245" t="str">
        <f>IF($A26="","",INDEX(編成!$M$16:$AI$71,MATCH($B26,編成!$AI$16:$AI$71,0),12))</f>
        <v>星稜中学校</v>
      </c>
      <c r="I26" s="249">
        <v>1</v>
      </c>
      <c r="J26" s="246" t="s">
        <v>198</v>
      </c>
      <c r="K26" s="249">
        <v>1</v>
      </c>
      <c r="L26" s="247" t="s">
        <v>199</v>
      </c>
      <c r="M26" s="249">
        <v>1</v>
      </c>
      <c r="N26" s="246" t="s">
        <v>200</v>
      </c>
      <c r="O26" s="249">
        <v>5</v>
      </c>
      <c r="P26" s="248" t="str">
        <f>IF($A26="","",INDEX(編成!$M$16:$AI$71,MATCH($B26,編成!$AI$16:$AI$71,0),15))</f>
        <v>FC.
SOUTHERN
1st</v>
      </c>
      <c r="Q26" s="243" t="str">
        <f>IF($A26="","",INDEX(編成!$M$16:$AI$71,MATCH($B26,編成!$AI$16:$AI$71,0),18))</f>
        <v>育成</v>
      </c>
      <c r="R26" s="345" t="str">
        <f>IF($A26="","",INDEX(編成!$M$16:$AI$71,MATCH($B26,編成!$AI$16:$AI$71,0),19))</f>
        <v>育成</v>
      </c>
    </row>
    <row r="27" spans="1:18" ht="15" customHeight="1" thickBot="1" x14ac:dyDescent="0.3">
      <c r="A27" s="156">
        <f>IF(MAX(編成!$AI$16:$AI$71)&lt;記入!$B27,"",INDEX(編成!$M$16:$AI$71,MATCH(記入!$B27,編成!$AI$16:$AI$71,0),2))</f>
        <v>131</v>
      </c>
      <c r="B27" s="223">
        <v>21</v>
      </c>
      <c r="C27" s="255" t="str">
        <f>IF(A27="","",INDEX(編成!$M$16:$AI$71,MATCH($B27,編成!$AI$16:$AI$71,0),4))</f>
        <v>⑥</v>
      </c>
      <c r="D27" s="256">
        <f>IF($A27="","",INDEX(編成!$M$16:$AI$71,MATCH($B27,編成!$AI$16:$AI$71,0),5))</f>
        <v>42526</v>
      </c>
      <c r="E27" s="257" t="str">
        <f>IF($A27="","",INDEX(編成!$M$16:$AI$71,MATCH($B27,編成!$AI$16:$AI$71,0),7))</f>
        <v>日</v>
      </c>
      <c r="F27" s="257" t="str">
        <f>IF($A27="","",INDEX(編成!$M$16:$AI$71,MATCH($B27,編成!$AI$16:$AI$71,0),8))</f>
        <v>星稜ｻｯｶｰ場</v>
      </c>
      <c r="G27" s="258">
        <f>IF($A27="","",INDEX(編成!$M$16:$AI$71,MATCH($B27,編成!$AI$16:$AI$71,0),10))</f>
        <v>0.375</v>
      </c>
      <c r="H27" s="259" t="str">
        <f>IF($A27="","",INDEX(編成!$M$16:$AI$71,MATCH($B27,編成!$AI$16:$AI$71,0),12))</f>
        <v>ツエーゲン
金沢U-15
1st</v>
      </c>
      <c r="I27" s="260">
        <v>5</v>
      </c>
      <c r="J27" s="261" t="s">
        <v>198</v>
      </c>
      <c r="K27" s="260">
        <v>2</v>
      </c>
      <c r="L27" s="262" t="s">
        <v>199</v>
      </c>
      <c r="M27" s="260">
        <v>0</v>
      </c>
      <c r="N27" s="261" t="s">
        <v>200</v>
      </c>
      <c r="O27" s="260">
        <v>0</v>
      </c>
      <c r="P27" s="263" t="str">
        <f>IF($A27="","",INDEX(編成!$M$16:$AI$71,MATCH($B27,編成!$AI$16:$AI$71,0),15))</f>
        <v>星稜中学校</v>
      </c>
      <c r="Q27" s="257" t="str">
        <f>IF($A27="","",INDEX(編成!$M$16:$AI$71,MATCH($B27,編成!$AI$16:$AI$71,0),18))</f>
        <v>育成</v>
      </c>
      <c r="R27" s="218" t="str">
        <f>IF($A27="","",INDEX(編成!$M$16:$AI$71,MATCH($B27,編成!$AI$16:$AI$71,0),19))</f>
        <v>育成</v>
      </c>
    </row>
    <row r="28" spans="1:18" ht="15" customHeight="1" x14ac:dyDescent="0.25">
      <c r="A28" s="156">
        <f>IF(MAX(編成!$AI$16:$AI$71)&lt;記入!$B28,"",INDEX(編成!$M$16:$AI$71,MATCH(記入!$B28,編成!$AI$16:$AI$71,0),2))</f>
        <v>451</v>
      </c>
      <c r="B28">
        <v>22</v>
      </c>
      <c r="C28" s="272" t="str">
        <f>IF(A28="","",INDEX(編成!$M$16:$AI$71,MATCH($B28,編成!$AI$16:$AI$71,0),4))</f>
        <v>⑦</v>
      </c>
      <c r="D28" s="273">
        <f>IF($A28="","",INDEX(編成!$M$16:$AI$71,MATCH($B28,編成!$AI$16:$AI$71,0),5))</f>
        <v>42546</v>
      </c>
      <c r="E28" s="274" t="str">
        <f>IF($A28="","",INDEX(編成!$M$16:$AI$71,MATCH($B28,編成!$AI$16:$AI$71,0),7))</f>
        <v>土</v>
      </c>
      <c r="F28" s="274" t="str">
        <f>IF($A28="","",INDEX(編成!$M$16:$AI$71,MATCH($B28,編成!$AI$16:$AI$71,0),8))</f>
        <v>加賀陸上</v>
      </c>
      <c r="G28" s="275">
        <f>IF($A28="","",INDEX(編成!$M$16:$AI$71,MATCH($B28,編成!$AI$16:$AI$71,0),10))</f>
        <v>0.41666666666666669</v>
      </c>
      <c r="H28" s="276" t="str">
        <f>IF($A28="","",INDEX(編成!$M$16:$AI$71,MATCH($B28,編成!$AI$16:$AI$71,0),12))</f>
        <v>Riopedra
加賀FC</v>
      </c>
      <c r="I28" s="277">
        <v>1</v>
      </c>
      <c r="J28" s="278" t="s">
        <v>198</v>
      </c>
      <c r="K28" s="277">
        <v>0</v>
      </c>
      <c r="L28" s="279" t="s">
        <v>199</v>
      </c>
      <c r="M28" s="277">
        <v>0</v>
      </c>
      <c r="N28" s="278" t="s">
        <v>200</v>
      </c>
      <c r="O28" s="277">
        <v>0</v>
      </c>
      <c r="P28" s="280" t="str">
        <f>IF($A28="","",INDEX(編成!$M$16:$AI$71,MATCH($B28,編成!$AI$16:$AI$71,0),15))</f>
        <v>FC小松
1st</v>
      </c>
      <c r="Q28" s="274" t="str">
        <f>IF($A28="","",INDEX(編成!$M$16:$AI$71,MATCH($B28,編成!$AI$16:$AI$71,0),18))</f>
        <v>育成</v>
      </c>
      <c r="R28" s="346" t="str">
        <f>IF($A28="","",INDEX(編成!$M$16:$AI$71,MATCH($B28,編成!$AI$16:$AI$71,0),19))</f>
        <v>育成</v>
      </c>
    </row>
    <row r="29" spans="1:18" ht="15" customHeight="1" x14ac:dyDescent="0.25">
      <c r="A29" s="156">
        <f>IF(MAX(編成!$AI$16:$AI$71)&lt;記入!$B29,"",INDEX(編成!$M$16:$AI$71,MATCH(記入!$B29,編成!$AI$16:$AI$71,0),2))</f>
        <v>231</v>
      </c>
      <c r="B29">
        <v>23</v>
      </c>
      <c r="C29" s="241" t="str">
        <f>IF(A29="","",INDEX(編成!$M$16:$AI$71,MATCH($B29,編成!$AI$16:$AI$71,0),4))</f>
        <v>⑦</v>
      </c>
      <c r="D29" s="242">
        <f>IF($A29="","",INDEX(編成!$M$16:$AI$71,MATCH($B29,編成!$AI$16:$AI$71,0),5))</f>
        <v>42546</v>
      </c>
      <c r="E29" s="243" t="str">
        <f>IF($A29="","",INDEX(編成!$M$16:$AI$71,MATCH($B29,編成!$AI$16:$AI$71,0),7))</f>
        <v>土</v>
      </c>
      <c r="F29" s="243" t="str">
        <f>IF($A29="","",INDEX(編成!$M$16:$AI$71,MATCH($B29,編成!$AI$16:$AI$71,0),8))</f>
        <v>能登島Ｂ</v>
      </c>
      <c r="G29" s="244">
        <f>IF($A29="","",INDEX(編成!$M$16:$AI$71,MATCH($B29,編成!$AI$16:$AI$71,0),10))</f>
        <v>0.39583333333333331</v>
      </c>
      <c r="H29" s="245" t="str">
        <f>IF($A29="","",INDEX(編成!$M$16:$AI$71,MATCH($B29,編成!$AI$16:$AI$71,0),12))</f>
        <v>セブン能登
1st</v>
      </c>
      <c r="I29" s="249">
        <v>0</v>
      </c>
      <c r="J29" s="246" t="s">
        <v>198</v>
      </c>
      <c r="K29" s="249">
        <v>0</v>
      </c>
      <c r="L29" s="247" t="s">
        <v>199</v>
      </c>
      <c r="M29" s="249">
        <v>0</v>
      </c>
      <c r="N29" s="246" t="s">
        <v>200</v>
      </c>
      <c r="O29" s="249">
        <v>1</v>
      </c>
      <c r="P29" s="248" t="str">
        <f>IF($A29="","",INDEX(編成!$M$16:$AI$71,MATCH($B29,編成!$AI$16:$AI$71,0),15))</f>
        <v>星稜中学校</v>
      </c>
      <c r="Q29" s="243" t="str">
        <f>IF($A29="","",INDEX(編成!$M$16:$AI$71,MATCH($B29,編成!$AI$16:$AI$71,0),18))</f>
        <v>ﾍﾐﾆｽ1st</v>
      </c>
      <c r="R29" s="345" t="str">
        <f>IF($A29="","",INDEX(編成!$M$16:$AI$71,MATCH($B29,編成!$AI$16:$AI$71,0),19))</f>
        <v>サザン1st</v>
      </c>
    </row>
    <row r="30" spans="1:18" ht="15" customHeight="1" x14ac:dyDescent="0.25">
      <c r="A30" s="156">
        <f>IF(MAX(編成!$AI$16:$AI$71)&lt;記入!$B30,"",INDEX(編成!$M$16:$AI$71,MATCH(記入!$B30,編成!$AI$16:$AI$71,0),2))</f>
        <v>671</v>
      </c>
      <c r="B30">
        <v>24</v>
      </c>
      <c r="C30" s="241" t="str">
        <f>IF(A30="","",INDEX(編成!$M$16:$AI$71,MATCH($B30,編成!$AI$16:$AI$71,0),4))</f>
        <v>⑦</v>
      </c>
      <c r="D30" s="242">
        <f>IF($A30="","",INDEX(編成!$M$16:$AI$71,MATCH($B30,編成!$AI$16:$AI$71,0),5))</f>
        <v>42546</v>
      </c>
      <c r="E30" s="243" t="str">
        <f>IF($A30="","",INDEX(編成!$M$16:$AI$71,MATCH($B30,編成!$AI$16:$AI$71,0),7))</f>
        <v>土</v>
      </c>
      <c r="F30" s="243" t="str">
        <f>IF($A30="","",INDEX(編成!$M$16:$AI$71,MATCH($B30,編成!$AI$16:$AI$71,0),8))</f>
        <v>能登島Ｂ</v>
      </c>
      <c r="G30" s="244">
        <f>IF($A30="","",INDEX(編成!$M$16:$AI$71,MATCH($B30,編成!$AI$16:$AI$71,0),10))</f>
        <v>0.47222222222222227</v>
      </c>
      <c r="H30" s="245" t="str">
        <f>IF($A30="","",INDEX(編成!$M$16:$AI$71,MATCH($B30,編成!$AI$16:$AI$71,0),12))</f>
        <v>FC.
SOUTHERN
1st</v>
      </c>
      <c r="I30" s="249">
        <v>3</v>
      </c>
      <c r="J30" s="246" t="s">
        <v>198</v>
      </c>
      <c r="K30" s="249">
        <v>2</v>
      </c>
      <c r="L30" s="247" t="s">
        <v>199</v>
      </c>
      <c r="M30" s="249">
        <v>0</v>
      </c>
      <c r="N30" s="246" t="s">
        <v>200</v>
      </c>
      <c r="O30" s="249">
        <v>3</v>
      </c>
      <c r="P30" s="248" t="str">
        <f>IF($A30="","",INDEX(編成!$M$16:$AI$71,MATCH($B30,編成!$AI$16:$AI$71,0),15))</f>
        <v>ヘミニス
金沢FC
1st</v>
      </c>
      <c r="Q30" s="243" t="str">
        <f>IF($A30="","",INDEX(編成!$M$16:$AI$71,MATCH($B30,編成!$AI$16:$AI$71,0),18))</f>
        <v>セブン1st</v>
      </c>
      <c r="R30" s="345" t="str">
        <f>IF($A30="","",INDEX(編成!$M$16:$AI$71,MATCH($B30,編成!$AI$16:$AI$71,0),19))</f>
        <v>星稜中</v>
      </c>
    </row>
    <row r="31" spans="1:18" ht="15" customHeight="1" x14ac:dyDescent="0.25">
      <c r="A31" s="156">
        <f>IF(MAX(編成!$AI$16:$AI$71)&lt;記入!$B31,"",INDEX(編成!$M$16:$AI$71,MATCH(記入!$B31,編成!$AI$16:$AI$71,0),2))</f>
        <v>121</v>
      </c>
      <c r="B31">
        <v>25</v>
      </c>
      <c r="C31" s="241" t="str">
        <f>IF(A31="","",INDEX(編成!$M$16:$AI$71,MATCH($B31,編成!$AI$16:$AI$71,0),4))</f>
        <v>⑦</v>
      </c>
      <c r="D31" s="242">
        <f>IF($A31="","",INDEX(編成!$M$16:$AI$71,MATCH($B31,編成!$AI$16:$AI$71,0),5))</f>
        <v>42553</v>
      </c>
      <c r="E31" s="243" t="str">
        <f>IF($A31="","",INDEX(編成!$M$16:$AI$71,MATCH($B31,編成!$AI$16:$AI$71,0),7))</f>
        <v>土</v>
      </c>
      <c r="F31" s="243" t="str">
        <f>IF($A31="","",INDEX(編成!$M$16:$AI$71,MATCH($B31,編成!$AI$16:$AI$71,0),8))</f>
        <v>金沢市民</v>
      </c>
      <c r="G31" s="244">
        <f>IF($A31="","",INDEX(編成!$M$16:$AI$71,MATCH($B31,編成!$AI$16:$AI$71,0),10))</f>
        <v>0.40277777777777773</v>
      </c>
      <c r="H31" s="245" t="str">
        <f>IF($A31="","",INDEX(編成!$M$16:$AI$71,MATCH($B31,編成!$AI$16:$AI$71,0),12))</f>
        <v>ツエーゲン
金沢U-15
1st</v>
      </c>
      <c r="I31" s="249">
        <v>1</v>
      </c>
      <c r="J31" s="246" t="s">
        <v>198</v>
      </c>
      <c r="K31" s="249">
        <v>0</v>
      </c>
      <c r="L31" s="247" t="s">
        <v>199</v>
      </c>
      <c r="M31" s="249">
        <v>1</v>
      </c>
      <c r="N31" s="246" t="s">
        <v>200</v>
      </c>
      <c r="O31" s="249">
        <v>1</v>
      </c>
      <c r="P31" s="248" t="str">
        <f>IF($A31="","",INDEX(編成!$M$16:$AI$71,MATCH($B31,編成!$AI$16:$AI$71,0),15))</f>
        <v>セブン能登
1st</v>
      </c>
      <c r="Q31" s="243" t="str">
        <f>IF($A31="","",INDEX(編成!$M$16:$AI$71,MATCH($B31,編成!$AI$16:$AI$71,0),18))</f>
        <v>FC小松1st</v>
      </c>
      <c r="R31" s="345" t="str">
        <f>IF($A31="","",INDEX(編成!$M$16:$AI$71,MATCH($B31,編成!$AI$16:$AI$71,0),19))</f>
        <v>ﾃｲﾍﾝｽﾞ1st</v>
      </c>
    </row>
    <row r="32" spans="1:18" ht="15" customHeight="1" x14ac:dyDescent="0.25">
      <c r="A32" s="156">
        <f>IF(MAX(編成!$AI$16:$AI$71)&lt;記入!$B32,"",INDEX(編成!$M$16:$AI$71,MATCH(記入!$B32,編成!$AI$16:$AI$71,0),2))</f>
        <v>581</v>
      </c>
      <c r="B32">
        <v>26</v>
      </c>
      <c r="C32" s="241" t="str">
        <f>IF(A32="","",INDEX(編成!$M$16:$AI$71,MATCH($B32,編成!$AI$16:$AI$71,0),4))</f>
        <v>⑦</v>
      </c>
      <c r="D32" s="242">
        <f>IF($A32="","",INDEX(編成!$M$16:$AI$71,MATCH($B32,編成!$AI$16:$AI$71,0),5))</f>
        <v>42553</v>
      </c>
      <c r="E32" s="243" t="str">
        <f>IF($A32="","",INDEX(編成!$M$16:$AI$71,MATCH($B32,編成!$AI$16:$AI$71,0),7))</f>
        <v>土</v>
      </c>
      <c r="F32" s="243" t="str">
        <f>IF($A32="","",INDEX(編成!$M$16:$AI$71,MATCH($B32,編成!$AI$16:$AI$71,0),8))</f>
        <v>金沢市民</v>
      </c>
      <c r="G32" s="244">
        <f>IF($A32="","",INDEX(編成!$M$16:$AI$71,MATCH($B32,編成!$AI$16:$AI$71,0),10))</f>
        <v>0.47916666666666669</v>
      </c>
      <c r="H32" s="245" t="str">
        <f>IF($A32="","",INDEX(編成!$M$16:$AI$71,MATCH($B32,編成!$AI$16:$AI$71,0),12))</f>
        <v>FC小松
1st</v>
      </c>
      <c r="I32" s="249">
        <v>6</v>
      </c>
      <c r="J32" s="246" t="s">
        <v>198</v>
      </c>
      <c r="K32" s="249">
        <v>2</v>
      </c>
      <c r="L32" s="247" t="s">
        <v>199</v>
      </c>
      <c r="M32" s="249">
        <v>0</v>
      </c>
      <c r="N32" s="246" t="s">
        <v>200</v>
      </c>
      <c r="O32" s="249">
        <v>0</v>
      </c>
      <c r="P32" s="248" t="str">
        <f>IF($A32="","",INDEX(編成!$M$16:$AI$71,MATCH($B32,編成!$AI$16:$AI$71,0),15))</f>
        <v>テイヘンズ
FC　1st</v>
      </c>
      <c r="Q32" s="243" t="str">
        <f>IF($A32="","",INDEX(編成!$M$16:$AI$71,MATCH($B32,編成!$AI$16:$AI$71,0),18))</f>
        <v>ﾂｴｰｹﾞﾝ1st</v>
      </c>
      <c r="R32" s="345" t="str">
        <f>IF($A32="","",INDEX(編成!$M$16:$AI$71,MATCH($B32,編成!$AI$16:$AI$71,0),19))</f>
        <v>セブン1st</v>
      </c>
    </row>
    <row r="33" spans="1:18" ht="15" customHeight="1" x14ac:dyDescent="0.25">
      <c r="A33" s="156">
        <f>IF(MAX(編成!$AI$16:$AI$71)&lt;記入!$B33,"",INDEX(編成!$M$16:$AI$71,MATCH(記入!$B33,編成!$AI$16:$AI$71,0),2))</f>
        <v>461</v>
      </c>
      <c r="B33">
        <v>27</v>
      </c>
      <c r="C33" s="241" t="str">
        <f>IF(A33="","",INDEX(編成!$M$16:$AI$71,MATCH($B33,編成!$AI$16:$AI$71,0),4))</f>
        <v>⑦</v>
      </c>
      <c r="D33" s="242">
        <f>IF($A33="","",INDEX(編成!$M$16:$AI$71,MATCH($B33,編成!$AI$16:$AI$71,0),5))</f>
        <v>42554</v>
      </c>
      <c r="E33" s="243" t="str">
        <f>IF($A33="","",INDEX(編成!$M$16:$AI$71,MATCH($B33,編成!$AI$16:$AI$71,0),7))</f>
        <v>日</v>
      </c>
      <c r="F33" s="243" t="str">
        <f>IF($A33="","",INDEX(編成!$M$16:$AI$71,MATCH($B33,編成!$AI$16:$AI$71,0),8))</f>
        <v>加賀陸上</v>
      </c>
      <c r="G33" s="244">
        <f>IF($A33="","",INDEX(編成!$M$16:$AI$71,MATCH($B33,編成!$AI$16:$AI$71,0),10))</f>
        <v>0.41666666666666669</v>
      </c>
      <c r="H33" s="245" t="str">
        <f>IF($A33="","",INDEX(編成!$M$16:$AI$71,MATCH($B33,編成!$AI$16:$AI$71,0),12))</f>
        <v>Riopedra
加賀FC</v>
      </c>
      <c r="I33" s="249">
        <v>0</v>
      </c>
      <c r="J33" s="246" t="s">
        <v>198</v>
      </c>
      <c r="K33" s="249">
        <v>0</v>
      </c>
      <c r="L33" s="247" t="s">
        <v>199</v>
      </c>
      <c r="M33" s="249">
        <v>2</v>
      </c>
      <c r="N33" s="246" t="s">
        <v>200</v>
      </c>
      <c r="O33" s="249">
        <v>3</v>
      </c>
      <c r="P33" s="248" t="str">
        <f>IF($A33="","",INDEX(編成!$M$16:$AI$71,MATCH($B33,編成!$AI$16:$AI$71,0),15))</f>
        <v>FC.
SOUTHERN
1st</v>
      </c>
      <c r="Q33" s="243" t="str">
        <f>IF($A33="","",INDEX(編成!$M$16:$AI$71,MATCH($B33,編成!$AI$16:$AI$71,0),18))</f>
        <v>育成</v>
      </c>
      <c r="R33" s="345" t="str">
        <f>IF($A33="","",INDEX(編成!$M$16:$AI$71,MATCH($B33,編成!$AI$16:$AI$71,0),19))</f>
        <v>育成</v>
      </c>
    </row>
    <row r="34" spans="1:18" ht="15" customHeight="1" thickBot="1" x14ac:dyDescent="0.3">
      <c r="A34" s="156">
        <f>IF(MAX(編成!$AI$16:$AI$71)&lt;記入!$B34,"",INDEX(編成!$M$16:$AI$71,MATCH(記入!$B34,編成!$AI$16:$AI$71,0),2))</f>
        <v>381</v>
      </c>
      <c r="B34" s="223">
        <v>28</v>
      </c>
      <c r="C34" s="281" t="str">
        <f>IF(A34="","",INDEX(編成!$M$16:$AI$71,MATCH($B34,編成!$AI$16:$AI$71,0),4))</f>
        <v>⑦</v>
      </c>
      <c r="D34" s="282">
        <f>IF($A34="","",INDEX(編成!$M$16:$AI$71,MATCH($B34,編成!$AI$16:$AI$71,0),5))</f>
        <v>42560</v>
      </c>
      <c r="E34" s="283" t="str">
        <f>IF($A34="","",INDEX(編成!$M$16:$AI$71,MATCH($B34,編成!$AI$16:$AI$71,0),7))</f>
        <v>土</v>
      </c>
      <c r="F34" s="283" t="str">
        <f>IF($A34="","",INDEX(編成!$M$16:$AI$71,MATCH($B34,編成!$AI$16:$AI$71,0),8))</f>
        <v>星稜ｻｯｶｰ場</v>
      </c>
      <c r="G34" s="284">
        <f>IF($A34="","",INDEX(編成!$M$16:$AI$71,MATCH($B34,編成!$AI$16:$AI$71,0),10))</f>
        <v>0.375</v>
      </c>
      <c r="H34" s="285" t="str">
        <f>IF($A34="","",INDEX(編成!$M$16:$AI$71,MATCH($B34,編成!$AI$16:$AI$71,0),12))</f>
        <v>星稜中学校</v>
      </c>
      <c r="I34" s="286">
        <v>9</v>
      </c>
      <c r="J34" s="287" t="s">
        <v>198</v>
      </c>
      <c r="K34" s="286">
        <v>3</v>
      </c>
      <c r="L34" s="288" t="s">
        <v>199</v>
      </c>
      <c r="M34" s="286">
        <v>0</v>
      </c>
      <c r="N34" s="287" t="s">
        <v>200</v>
      </c>
      <c r="O34" s="286">
        <v>0</v>
      </c>
      <c r="P34" s="289" t="str">
        <f>IF($A34="","",INDEX(編成!$M$16:$AI$71,MATCH($B34,編成!$AI$16:$AI$71,0),15))</f>
        <v>テイヘンズ
FC　1st</v>
      </c>
      <c r="Q34" s="283" t="str">
        <f>IF($A34="","",INDEX(編成!$M$16:$AI$71,MATCH($B34,編成!$AI$16:$AI$71,0),18))</f>
        <v>育成</v>
      </c>
      <c r="R34" s="347" t="str">
        <f>IF($A34="","",INDEX(編成!$M$16:$AI$71,MATCH($B34,編成!$AI$16:$AI$71,0),19))</f>
        <v>育成</v>
      </c>
    </row>
    <row r="35" spans="1:18" ht="15" customHeight="1" x14ac:dyDescent="0.25">
      <c r="A35" s="156">
        <f>IF(MAX(編成!$AI$16:$AI$71)&lt;記入!$B35,"",INDEX(編成!$M$16:$AI$71,MATCH(記入!$B35,編成!$AI$16:$AI$71,0),2))</f>
        <v>282</v>
      </c>
      <c r="B35">
        <v>29</v>
      </c>
      <c r="C35" s="264" t="str">
        <f>IF(A35="","",INDEX(編成!$M$16:$AI$71,MATCH($B35,編成!$AI$16:$AI$71,0),4))</f>
        <v>⑧</v>
      </c>
      <c r="D35" s="265">
        <f>IF($A35="","",INDEX(編成!$M$16:$AI$71,MATCH($B35,編成!$AI$16:$AI$71,0),5))</f>
        <v>42574</v>
      </c>
      <c r="E35" s="266" t="str">
        <f>IF($A35="","",INDEX(編成!$M$16:$AI$71,MATCH($B35,編成!$AI$16:$AI$71,0),7))</f>
        <v>土</v>
      </c>
      <c r="F35" s="266" t="str">
        <f>IF($A35="","",INDEX(編成!$M$16:$AI$71,MATCH($B35,編成!$AI$16:$AI$71,0),8))</f>
        <v>北陸大FPB</v>
      </c>
      <c r="G35" s="267">
        <f>IF($A35="","",INDEX(編成!$M$16:$AI$71,MATCH($B35,編成!$AI$16:$AI$71,0),10))</f>
        <v>0.60416666666666663</v>
      </c>
      <c r="H35" s="268" t="str">
        <f>IF($A35="","",INDEX(編成!$M$16:$AI$71,MATCH($B35,編成!$AI$16:$AI$71,0),12))</f>
        <v>セブン能登
1st</v>
      </c>
      <c r="I35" s="250">
        <v>5</v>
      </c>
      <c r="J35" s="269" t="s">
        <v>198</v>
      </c>
      <c r="K35" s="250">
        <v>2</v>
      </c>
      <c r="L35" s="270" t="s">
        <v>199</v>
      </c>
      <c r="M35" s="250">
        <v>0</v>
      </c>
      <c r="N35" s="269" t="s">
        <v>200</v>
      </c>
      <c r="O35" s="250">
        <v>0</v>
      </c>
      <c r="P35" s="271" t="str">
        <f>IF($A35="","",INDEX(編成!$M$16:$AI$71,MATCH($B35,編成!$AI$16:$AI$71,0),15))</f>
        <v>テイヘンズ
FC　1st</v>
      </c>
      <c r="Q35" s="266" t="str">
        <f>IF($A35="","",INDEX(編成!$M$16:$AI$71,MATCH($B35,編成!$AI$16:$AI$71,0),18))</f>
        <v>星稜中</v>
      </c>
      <c r="R35" s="220" t="str">
        <f>IF($A35="","",INDEX(編成!$M$16:$AI$71,MATCH($B35,編成!$AI$16:$AI$71,0),19))</f>
        <v>サザン1st</v>
      </c>
    </row>
    <row r="36" spans="1:18" ht="15" customHeight="1" x14ac:dyDescent="0.25">
      <c r="A36" s="156">
        <f>IF(MAX(編成!$AI$16:$AI$71)&lt;記入!$B36,"",INDEX(編成!$M$16:$AI$71,MATCH(記入!$B36,編成!$AI$16:$AI$71,0),2))</f>
        <v>172</v>
      </c>
      <c r="B36">
        <v>30</v>
      </c>
      <c r="C36" s="241" t="str">
        <f>IF(A36="","",INDEX(編成!$M$16:$AI$71,MATCH($B36,編成!$AI$16:$AI$71,0),4))</f>
        <v>⑧</v>
      </c>
      <c r="D36" s="242">
        <f>IF($A36="","",INDEX(編成!$M$16:$AI$71,MATCH($B36,編成!$AI$16:$AI$71,0),5))</f>
        <v>42574</v>
      </c>
      <c r="E36" s="243" t="str">
        <f>IF($A36="","",INDEX(編成!$M$16:$AI$71,MATCH($B36,編成!$AI$16:$AI$71,0),7))</f>
        <v>土</v>
      </c>
      <c r="F36" s="243" t="str">
        <f>IF($A36="","",INDEX(編成!$M$16:$AI$71,MATCH($B36,編成!$AI$16:$AI$71,0),8))</f>
        <v>北陸大FPB</v>
      </c>
      <c r="G36" s="244">
        <f>IF($A36="","",INDEX(編成!$M$16:$AI$71,MATCH($B36,編成!$AI$16:$AI$71,0),10))</f>
        <v>0.68055555555555547</v>
      </c>
      <c r="H36" s="245" t="str">
        <f>IF($A36="","",INDEX(編成!$M$16:$AI$71,MATCH($B36,編成!$AI$16:$AI$71,0),12))</f>
        <v>ツエーゲン
金沢U-15
1st</v>
      </c>
      <c r="I36" s="249">
        <v>3</v>
      </c>
      <c r="J36" s="246" t="s">
        <v>198</v>
      </c>
      <c r="K36" s="249">
        <v>0</v>
      </c>
      <c r="L36" s="247" t="s">
        <v>199</v>
      </c>
      <c r="M36" s="249">
        <v>1</v>
      </c>
      <c r="N36" s="246" t="s">
        <v>200</v>
      </c>
      <c r="O36" s="249">
        <v>1</v>
      </c>
      <c r="P36" s="248" t="str">
        <f>IF($A36="","",INDEX(編成!$M$16:$AI$71,MATCH($B36,編成!$AI$16:$AI$71,0),15))</f>
        <v>ヘミニス
金沢FC
1st</v>
      </c>
      <c r="Q36" s="243" t="str">
        <f>IF($A36="","",INDEX(編成!$M$16:$AI$71,MATCH($B36,編成!$AI$16:$AI$71,0),18))</f>
        <v>セブン1st</v>
      </c>
      <c r="R36" s="345" t="str">
        <f>IF($A36="","",INDEX(編成!$M$16:$AI$71,MATCH($B36,編成!$AI$16:$AI$71,0),19))</f>
        <v>ﾃｲﾍﾝｽﾞ1st</v>
      </c>
    </row>
    <row r="37" spans="1:18" ht="15" customHeight="1" x14ac:dyDescent="0.25">
      <c r="A37" s="156">
        <f>IF(MAX(編成!$AI$16:$AI$71)&lt;記入!$B37,"",INDEX(編成!$M$16:$AI$71,MATCH(記入!$B37,編成!$AI$16:$AI$71,0),2))</f>
        <v>362</v>
      </c>
      <c r="B37">
        <v>31</v>
      </c>
      <c r="C37" s="241" t="str">
        <f>IF(A37="","",INDEX(編成!$M$16:$AI$71,MATCH($B37,編成!$AI$16:$AI$71,0),4))</f>
        <v>⑧</v>
      </c>
      <c r="D37" s="242">
        <f>IF($A37="","",INDEX(編成!$M$16:$AI$71,MATCH($B37,編成!$AI$16:$AI$71,0),5))</f>
        <v>42574</v>
      </c>
      <c r="E37" s="243" t="str">
        <f>IF($A37="","",INDEX(編成!$M$16:$AI$71,MATCH($B37,編成!$AI$16:$AI$71,0),7))</f>
        <v>土</v>
      </c>
      <c r="F37" s="243" t="str">
        <f>IF($A37="","",INDEX(編成!$M$16:$AI$71,MATCH($B37,編成!$AI$16:$AI$71,0),8))</f>
        <v>北陸大FPB</v>
      </c>
      <c r="G37" s="244">
        <f>IF($A37="","",INDEX(編成!$M$16:$AI$71,MATCH($B37,編成!$AI$16:$AI$71,0),10))</f>
        <v>0.75694444444444453</v>
      </c>
      <c r="H37" s="245" t="str">
        <f>IF($A37="","",INDEX(編成!$M$16:$AI$71,MATCH($B37,編成!$AI$16:$AI$71,0),12))</f>
        <v>星稜中学校</v>
      </c>
      <c r="I37" s="249">
        <v>0</v>
      </c>
      <c r="J37" s="246" t="s">
        <v>198</v>
      </c>
      <c r="K37" s="249">
        <v>0</v>
      </c>
      <c r="L37" s="247" t="s">
        <v>199</v>
      </c>
      <c r="M37" s="249">
        <v>1</v>
      </c>
      <c r="N37" s="246" t="s">
        <v>200</v>
      </c>
      <c r="O37" s="249">
        <v>2</v>
      </c>
      <c r="P37" s="248" t="str">
        <f>IF($A37="","",INDEX(編成!$M$16:$AI$71,MATCH($B37,編成!$AI$16:$AI$71,0),15))</f>
        <v>FC.
SOUTHERN
1st</v>
      </c>
      <c r="Q37" s="243" t="str">
        <f>IF($A37="","",INDEX(編成!$M$16:$AI$71,MATCH($B37,編成!$AI$16:$AI$71,0),18))</f>
        <v>ﾂｴｰｹﾞﾝ1st</v>
      </c>
      <c r="R37" s="345" t="str">
        <f>IF($A37="","",INDEX(編成!$M$16:$AI$71,MATCH($B37,編成!$AI$16:$AI$71,0),19))</f>
        <v>ﾍﾐﾆｽ1st</v>
      </c>
    </row>
    <row r="38" spans="1:18" ht="15" customHeight="1" x14ac:dyDescent="0.25">
      <c r="A38" s="156">
        <f>IF(MAX(編成!$AI$16:$AI$71)&lt;記入!$B38,"",INDEX(編成!$M$16:$AI$71,MATCH(記入!$B38,編成!$AI$16:$AI$71,0),2))</f>
        <v>672</v>
      </c>
      <c r="B38">
        <v>32</v>
      </c>
      <c r="C38" s="241" t="str">
        <f>IF(A38="","",INDEX(編成!$M$16:$AI$71,MATCH($B38,編成!$AI$16:$AI$71,0),4))</f>
        <v>⑨</v>
      </c>
      <c r="D38" s="242">
        <f>IF($A38="","",INDEX(編成!$M$16:$AI$71,MATCH($B38,編成!$AI$16:$AI$71,0),5))</f>
        <v>42581</v>
      </c>
      <c r="E38" s="243" t="str">
        <f>IF($A38="","",INDEX(編成!$M$16:$AI$71,MATCH($B38,編成!$AI$16:$AI$71,0),7))</f>
        <v>土</v>
      </c>
      <c r="F38" s="243" t="str">
        <f>IF($A38="","",INDEX(編成!$M$16:$AI$71,MATCH($B38,編成!$AI$16:$AI$71,0),8))</f>
        <v>金沢市民</v>
      </c>
      <c r="G38" s="244">
        <f>IF($A38="","",INDEX(編成!$M$16:$AI$71,MATCH($B38,編成!$AI$16:$AI$71,0),10))</f>
        <v>0.41666666666666669</v>
      </c>
      <c r="H38" s="245" t="str">
        <f>IF($A38="","",INDEX(編成!$M$16:$AI$71,MATCH($B38,編成!$AI$16:$AI$71,0),12))</f>
        <v>FC.
SOUTHERN
1st</v>
      </c>
      <c r="I38" s="249">
        <v>9</v>
      </c>
      <c r="J38" s="246" t="s">
        <v>198</v>
      </c>
      <c r="K38" s="249">
        <v>2</v>
      </c>
      <c r="L38" s="247" t="s">
        <v>199</v>
      </c>
      <c r="M38" s="249">
        <v>0</v>
      </c>
      <c r="N38" s="246" t="s">
        <v>200</v>
      </c>
      <c r="O38" s="249">
        <v>0</v>
      </c>
      <c r="P38" s="248" t="str">
        <f>IF($A38="","",INDEX(編成!$M$16:$AI$71,MATCH($B38,編成!$AI$16:$AI$71,0),15))</f>
        <v>ヘミニス
金沢FC
1st</v>
      </c>
      <c r="Q38" s="243" t="str">
        <f>IF($A38="","",INDEX(編成!$M$16:$AI$71,MATCH($B38,編成!$AI$16:$AI$71,0),18))</f>
        <v>育成</v>
      </c>
      <c r="R38" s="345" t="str">
        <f>IF($A38="","",INDEX(編成!$M$16:$AI$71,MATCH($B38,編成!$AI$16:$AI$71,0),19))</f>
        <v>育成</v>
      </c>
    </row>
    <row r="39" spans="1:18" ht="15" customHeight="1" x14ac:dyDescent="0.25">
      <c r="A39" s="156">
        <f>IF(MAX(編成!$AI$16:$AI$71)&lt;記入!$B39,"",INDEX(編成!$M$16:$AI$71,MATCH(記入!$B39,編成!$AI$16:$AI$71,0),2))</f>
        <v>152</v>
      </c>
      <c r="B39">
        <v>33</v>
      </c>
      <c r="C39" s="241" t="str">
        <f>IF(A39="","",INDEX(編成!$M$16:$AI$71,MATCH($B39,編成!$AI$16:$AI$71,0),4))</f>
        <v>⑨</v>
      </c>
      <c r="D39" s="242">
        <f>IF($A39="","",INDEX(編成!$M$16:$AI$71,MATCH($B39,編成!$AI$16:$AI$71,0),5))</f>
        <v>42581</v>
      </c>
      <c r="E39" s="243" t="str">
        <f>IF($A39="","",INDEX(編成!$M$16:$AI$71,MATCH($B39,編成!$AI$16:$AI$71,0),7))</f>
        <v>土</v>
      </c>
      <c r="F39" s="243" t="str">
        <f>IF($A39="","",INDEX(編成!$M$16:$AI$71,MATCH($B39,編成!$AI$16:$AI$71,0),8))</f>
        <v>小松市民</v>
      </c>
      <c r="G39" s="244">
        <f>IF($A39="","",INDEX(編成!$M$16:$AI$71,MATCH($B39,編成!$AI$16:$AI$71,0),10))</f>
        <v>0.41666666666666669</v>
      </c>
      <c r="H39" s="245" t="str">
        <f>IF($A39="","",INDEX(編成!$M$16:$AI$71,MATCH($B39,編成!$AI$16:$AI$71,0),12))</f>
        <v>ツエーゲン
金沢U-15
1st</v>
      </c>
      <c r="I39" s="249">
        <v>3</v>
      </c>
      <c r="J39" s="246" t="s">
        <v>198</v>
      </c>
      <c r="K39" s="249">
        <v>2</v>
      </c>
      <c r="L39" s="247" t="s">
        <v>199</v>
      </c>
      <c r="M39" s="249">
        <v>1</v>
      </c>
      <c r="N39" s="246" t="s">
        <v>200</v>
      </c>
      <c r="O39" s="249">
        <v>0</v>
      </c>
      <c r="P39" s="248" t="str">
        <f>IF($A39="","",INDEX(編成!$M$16:$AI$71,MATCH($B39,編成!$AI$16:$AI$71,0),15))</f>
        <v>FC小松
1st</v>
      </c>
      <c r="Q39" s="243" t="str">
        <f>IF($A39="","",INDEX(編成!$M$16:$AI$71,MATCH($B39,編成!$AI$16:$AI$71,0),18))</f>
        <v>Riopedra</v>
      </c>
      <c r="R39" s="345" t="str">
        <f>IF($A39="","",INDEX(編成!$M$16:$AI$71,MATCH($B39,編成!$AI$16:$AI$71,0),19))</f>
        <v>セブン1st</v>
      </c>
    </row>
    <row r="40" spans="1:18" ht="15" customHeight="1" x14ac:dyDescent="0.25">
      <c r="A40" s="156">
        <f>IF(MAX(編成!$AI$16:$AI$71)&lt;記入!$B40,"",INDEX(編成!$M$16:$AI$71,MATCH(記入!$B40,編成!$AI$16:$AI$71,0),2))</f>
        <v>242</v>
      </c>
      <c r="B40">
        <v>34</v>
      </c>
      <c r="C40" s="241" t="str">
        <f>IF(A40="","",INDEX(編成!$M$16:$AI$71,MATCH($B40,編成!$AI$16:$AI$71,0),4))</f>
        <v>⑨</v>
      </c>
      <c r="D40" s="242">
        <f>IF($A40="","",INDEX(編成!$M$16:$AI$71,MATCH($B40,編成!$AI$16:$AI$71,0),5))</f>
        <v>42581</v>
      </c>
      <c r="E40" s="243" t="str">
        <f>IF($A40="","",INDEX(編成!$M$16:$AI$71,MATCH($B40,編成!$AI$16:$AI$71,0),7))</f>
        <v>土</v>
      </c>
      <c r="F40" s="243" t="str">
        <f>IF($A40="","",INDEX(編成!$M$16:$AI$71,MATCH($B40,編成!$AI$16:$AI$71,0),8))</f>
        <v>小松市民</v>
      </c>
      <c r="G40" s="244">
        <f>IF($A40="","",INDEX(編成!$M$16:$AI$71,MATCH($B40,編成!$AI$16:$AI$71,0),10))</f>
        <v>0.49305555555555558</v>
      </c>
      <c r="H40" s="245" t="str">
        <f>IF($A40="","",INDEX(編成!$M$16:$AI$71,MATCH($B40,編成!$AI$16:$AI$71,0),12))</f>
        <v>セブン能登
1st</v>
      </c>
      <c r="I40" s="249">
        <v>2</v>
      </c>
      <c r="J40" s="246" t="s">
        <v>198</v>
      </c>
      <c r="K40" s="249">
        <v>0</v>
      </c>
      <c r="L40" s="247" t="s">
        <v>199</v>
      </c>
      <c r="M40" s="249">
        <v>0</v>
      </c>
      <c r="N40" s="246" t="s">
        <v>200</v>
      </c>
      <c r="O40" s="249">
        <v>0</v>
      </c>
      <c r="P40" s="248" t="str">
        <f>IF($A40="","",INDEX(編成!$M$16:$AI$71,MATCH($B40,編成!$AI$16:$AI$71,0),15))</f>
        <v>Riopedra
加賀FC</v>
      </c>
      <c r="Q40" s="243" t="str">
        <f>IF($A40="","",INDEX(編成!$M$16:$AI$71,MATCH($B40,編成!$AI$16:$AI$71,0),18))</f>
        <v>FC小松1st</v>
      </c>
      <c r="R40" s="345" t="str">
        <f>IF($A40="","",INDEX(編成!$M$16:$AI$71,MATCH($B40,編成!$AI$16:$AI$71,0),19))</f>
        <v>ﾂｴｰｹﾞﾝ1st</v>
      </c>
    </row>
    <row r="41" spans="1:18" ht="15" customHeight="1" x14ac:dyDescent="0.25">
      <c r="A41" s="156">
        <f>IF(MAX(編成!$AI$16:$AI$71)&lt;記入!$B41,"",INDEX(編成!$M$16:$AI$71,MATCH(記入!$B41,編成!$AI$16:$AI$71,0),2))</f>
        <v>562</v>
      </c>
      <c r="B41">
        <v>35</v>
      </c>
      <c r="C41" s="241" t="str">
        <f>IF(A41="","",INDEX(編成!$M$16:$AI$71,MATCH($B41,編成!$AI$16:$AI$71,0),4))</f>
        <v>⑨</v>
      </c>
      <c r="D41" s="242">
        <f>IF($A41="","",INDEX(編成!$M$16:$AI$71,MATCH($B41,編成!$AI$16:$AI$71,0),5))</f>
        <v>42588</v>
      </c>
      <c r="E41" s="243" t="str">
        <f>IF($A41="","",INDEX(編成!$M$16:$AI$71,MATCH($B41,編成!$AI$16:$AI$71,0),7))</f>
        <v>土</v>
      </c>
      <c r="F41" s="243" t="str">
        <f>IF($A41="","",INDEX(編成!$M$16:$AI$71,MATCH($B41,編成!$AI$16:$AI$71,0),8))</f>
        <v>金沢交流</v>
      </c>
      <c r="G41" s="244">
        <f>IF($A41="","",INDEX(編成!$M$16:$AI$71,MATCH($B41,編成!$AI$16:$AI$71,0),10))</f>
        <v>0.375</v>
      </c>
      <c r="H41" s="245" t="str">
        <f>IF($A41="","",INDEX(編成!$M$16:$AI$71,MATCH($B41,編成!$AI$16:$AI$71,0),12))</f>
        <v>FC小松
1st</v>
      </c>
      <c r="I41" s="249">
        <v>0</v>
      </c>
      <c r="J41" s="246" t="s">
        <v>198</v>
      </c>
      <c r="K41" s="249">
        <v>0</v>
      </c>
      <c r="L41" s="247" t="s">
        <v>199</v>
      </c>
      <c r="M41" s="249">
        <v>1</v>
      </c>
      <c r="N41" s="246" t="s">
        <v>200</v>
      </c>
      <c r="O41" s="249">
        <v>4</v>
      </c>
      <c r="P41" s="248" t="str">
        <f>IF($A41="","",INDEX(編成!$M$16:$AI$71,MATCH($B41,編成!$AI$16:$AI$71,0),15))</f>
        <v>FC.
SOUTHERN
1st</v>
      </c>
      <c r="Q41" s="243" t="str">
        <f>IF($A41="","",INDEX(編成!$M$16:$AI$71,MATCH($B41,編成!$AI$16:$AI$71,0),18))</f>
        <v>ﾃｲﾍﾝｽﾞ1st</v>
      </c>
      <c r="R41" s="345" t="str">
        <f>IF($A41="","",INDEX(編成!$M$16:$AI$71,MATCH($B41,編成!$AI$16:$AI$71,0),19))</f>
        <v>Riopedra</v>
      </c>
    </row>
    <row r="42" spans="1:18" ht="15" customHeight="1" x14ac:dyDescent="0.25">
      <c r="A42" s="156">
        <f>IF(MAX(編成!$AI$16:$AI$71)&lt;記入!$B42,"",INDEX(編成!$M$16:$AI$71,MATCH(記入!$B42,編成!$AI$16:$AI$71,0),2))</f>
        <v>482</v>
      </c>
      <c r="B42">
        <v>36</v>
      </c>
      <c r="C42" s="241" t="str">
        <f>IF(A42="","",INDEX(編成!$M$16:$AI$71,MATCH($B42,編成!$AI$16:$AI$71,0),4))</f>
        <v>⑨</v>
      </c>
      <c r="D42" s="242">
        <f>IF($A42="","",INDEX(編成!$M$16:$AI$71,MATCH($B42,編成!$AI$16:$AI$71,0),5))</f>
        <v>42588</v>
      </c>
      <c r="E42" s="243" t="str">
        <f>IF($A42="","",INDEX(編成!$M$16:$AI$71,MATCH($B42,編成!$AI$16:$AI$71,0),7))</f>
        <v>土</v>
      </c>
      <c r="F42" s="243" t="str">
        <f>IF($A42="","",INDEX(編成!$M$16:$AI$71,MATCH($B42,編成!$AI$16:$AI$71,0),8))</f>
        <v>金沢交流</v>
      </c>
      <c r="G42" s="244">
        <f>IF($A42="","",INDEX(編成!$M$16:$AI$71,MATCH($B42,編成!$AI$16:$AI$71,0),10))</f>
        <v>0.4513888888888889</v>
      </c>
      <c r="H42" s="245" t="str">
        <f>IF($A42="","",INDEX(編成!$M$16:$AI$71,MATCH($B42,編成!$AI$16:$AI$71,0),12))</f>
        <v>Riopedra
加賀FC</v>
      </c>
      <c r="I42" s="249">
        <v>1</v>
      </c>
      <c r="J42" s="246" t="s">
        <v>198</v>
      </c>
      <c r="K42" s="249">
        <v>0</v>
      </c>
      <c r="L42" s="247" t="s">
        <v>199</v>
      </c>
      <c r="M42" s="249">
        <v>0</v>
      </c>
      <c r="N42" s="246" t="s">
        <v>200</v>
      </c>
      <c r="O42" s="249">
        <v>1</v>
      </c>
      <c r="P42" s="248" t="str">
        <f>IF($A42="","",INDEX(編成!$M$16:$AI$71,MATCH($B42,編成!$AI$16:$AI$71,0),15))</f>
        <v>テイヘンズ
FC　1st</v>
      </c>
      <c r="Q42" s="243" t="str">
        <f>IF($A42="","",INDEX(編成!$M$16:$AI$71,MATCH($B42,編成!$AI$16:$AI$71,0),18))</f>
        <v>サザン1st</v>
      </c>
      <c r="R42" s="345" t="str">
        <f>IF($A42="","",INDEX(編成!$M$16:$AI$71,MATCH($B42,編成!$AI$16:$AI$71,0),19))</f>
        <v>FC小松1st</v>
      </c>
    </row>
    <row r="43" spans="1:18" ht="15" customHeight="1" x14ac:dyDescent="0.25">
      <c r="A43" s="156">
        <f>IF(MAX(編成!$AI$16:$AI$71)&lt;記入!$B43,"",INDEX(編成!$M$16:$AI$71,MATCH(記入!$B43,編成!$AI$16:$AI$71,0),2))</f>
        <v>572</v>
      </c>
      <c r="B43">
        <v>37</v>
      </c>
      <c r="C43" s="241" t="str">
        <f>IF(A43="","",INDEX(編成!$M$16:$AI$71,MATCH($B43,編成!$AI$16:$AI$71,0),4))</f>
        <v>②</v>
      </c>
      <c r="D43" s="242">
        <f>IF($A43="","",INDEX(編成!$M$16:$AI$71,MATCH($B43,編成!$AI$16:$AI$71,0),5))</f>
        <v>42617</v>
      </c>
      <c r="E43" s="243" t="str">
        <f>IF($A43="","",INDEX(編成!$M$16:$AI$71,MATCH($B43,編成!$AI$16:$AI$71,0),7))</f>
        <v>火</v>
      </c>
      <c r="F43" s="243" t="str">
        <f>IF($A43="","",INDEX(編成!$M$16:$AI$71,MATCH($B43,編成!$AI$16:$AI$71,0),8))</f>
        <v>小松市民</v>
      </c>
      <c r="G43" s="244">
        <f>IF($A43="","",INDEX(編成!$M$16:$AI$71,MATCH($B43,編成!$AI$16:$AI$71,0),10))</f>
        <v>0.41666666666666669</v>
      </c>
      <c r="H43" s="245" t="str">
        <f>IF($A43="","",INDEX(編成!$M$16:$AI$71,MATCH($B43,編成!$AI$16:$AI$71,0),12))</f>
        <v>FC小松
1st</v>
      </c>
      <c r="I43" s="249">
        <v>1</v>
      </c>
      <c r="J43" s="246" t="s">
        <v>198</v>
      </c>
      <c r="K43" s="249">
        <v>1</v>
      </c>
      <c r="L43" s="247" t="s">
        <v>199</v>
      </c>
      <c r="M43" s="249">
        <v>2</v>
      </c>
      <c r="N43" s="246" t="s">
        <v>200</v>
      </c>
      <c r="O43" s="249">
        <v>4</v>
      </c>
      <c r="P43" s="248" t="str">
        <f>IF($A43="","",INDEX(編成!$M$16:$AI$71,MATCH($B43,編成!$AI$16:$AI$71,0),15))</f>
        <v>ヘミニス
金沢FC
1st</v>
      </c>
      <c r="Q43" s="243" t="str">
        <f>IF($A43="","",INDEX(編成!$M$16:$AI$71,MATCH($B43,編成!$AI$16:$AI$71,0),18))</f>
        <v>ﾃｲﾍﾝｽﾞ1st</v>
      </c>
      <c r="R43" s="345" t="str">
        <f>IF($A43="","",INDEX(編成!$M$16:$AI$71,MATCH($B43,編成!$AI$16:$AI$71,0),19))</f>
        <v>星稜中</v>
      </c>
    </row>
    <row r="44" spans="1:18" ht="15" customHeight="1" x14ac:dyDescent="0.25">
      <c r="A44" s="156">
        <f>IF(MAX(編成!$AI$16:$AI$71)&lt;記入!$B44,"",INDEX(編成!$M$16:$AI$71,MATCH(記入!$B44,編成!$AI$16:$AI$71,0),2))</f>
        <v>382</v>
      </c>
      <c r="B44">
        <v>38</v>
      </c>
      <c r="C44" s="241" t="str">
        <f>IF(A44="","",INDEX(編成!$M$16:$AI$71,MATCH($B44,編成!$AI$16:$AI$71,0),4))</f>
        <v>②</v>
      </c>
      <c r="D44" s="242">
        <f>IF($A44="","",INDEX(編成!$M$16:$AI$71,MATCH($B44,編成!$AI$16:$AI$71,0),5))</f>
        <v>42617</v>
      </c>
      <c r="E44" s="243" t="str">
        <f>IF($A44="","",INDEX(編成!$M$16:$AI$71,MATCH($B44,編成!$AI$16:$AI$71,0),7))</f>
        <v>火</v>
      </c>
      <c r="F44" s="243" t="str">
        <f>IF($A44="","",INDEX(編成!$M$16:$AI$71,MATCH($B44,編成!$AI$16:$AI$71,0),8))</f>
        <v>小松市民</v>
      </c>
      <c r="G44" s="244">
        <f>IF($A44="","",INDEX(編成!$M$16:$AI$71,MATCH($B44,編成!$AI$16:$AI$71,0),10))</f>
        <v>0.49305555555555558</v>
      </c>
      <c r="H44" s="245" t="str">
        <f>IF($A44="","",INDEX(編成!$M$16:$AI$71,MATCH($B44,編成!$AI$16:$AI$71,0),12))</f>
        <v>星稜中学校</v>
      </c>
      <c r="I44" s="249">
        <v>8</v>
      </c>
      <c r="J44" s="246" t="s">
        <v>198</v>
      </c>
      <c r="K44" s="249">
        <v>5</v>
      </c>
      <c r="L44" s="247" t="s">
        <v>199</v>
      </c>
      <c r="M44" s="249">
        <v>1</v>
      </c>
      <c r="N44" s="246" t="s">
        <v>200</v>
      </c>
      <c r="O44" s="249">
        <v>1</v>
      </c>
      <c r="P44" s="248" t="str">
        <f>IF($A44="","",INDEX(編成!$M$16:$AI$71,MATCH($B44,編成!$AI$16:$AI$71,0),15))</f>
        <v>テイヘンズ
FC　1st</v>
      </c>
      <c r="Q44" s="243" t="str">
        <f>IF($A44="","",INDEX(編成!$M$16:$AI$71,MATCH($B44,編成!$AI$16:$AI$71,0),18))</f>
        <v>FC小松1st</v>
      </c>
      <c r="R44" s="345" t="str">
        <f>IF($A44="","",INDEX(編成!$M$16:$AI$71,MATCH($B44,編成!$AI$16:$AI$71,0),19))</f>
        <v>ﾍﾐﾆｽ1st</v>
      </c>
    </row>
    <row r="45" spans="1:18" ht="15" customHeight="1" x14ac:dyDescent="0.25">
      <c r="A45" s="156">
        <f>IF(MAX(編成!$AI$16:$AI$71)&lt;記入!$B45,"",INDEX(編成!$M$16:$AI$71,MATCH(記入!$B45,編成!$AI$16:$AI$71,0),2))</f>
        <v>342</v>
      </c>
      <c r="B45">
        <v>39</v>
      </c>
      <c r="C45" s="241" t="str">
        <f>IF(A45="","",INDEX(編成!$M$16:$AI$71,MATCH($B45,編成!$AI$16:$AI$71,0),4))</f>
        <v>②</v>
      </c>
      <c r="D45" s="242">
        <f>IF($A45="","",INDEX(編成!$M$16:$AI$71,MATCH($B45,編成!$AI$16:$AI$71,0),5))</f>
        <v>42624</v>
      </c>
      <c r="E45" s="243" t="str">
        <f>IF($A45="","",INDEX(編成!$M$16:$AI$71,MATCH($B45,編成!$AI$16:$AI$71,0),7))</f>
        <v>火</v>
      </c>
      <c r="F45" s="243" t="str">
        <f>IF($A45="","",INDEX(編成!$M$16:$AI$71,MATCH($B45,編成!$AI$16:$AI$71,0),8))</f>
        <v>加賀陸上</v>
      </c>
      <c r="G45" s="244">
        <f>IF($A45="","",INDEX(編成!$M$16:$AI$71,MATCH($B45,編成!$AI$16:$AI$71,0),10))</f>
        <v>0.41666666666666669</v>
      </c>
      <c r="H45" s="245" t="str">
        <f>IF($A45="","",INDEX(編成!$M$16:$AI$71,MATCH($B45,編成!$AI$16:$AI$71,0),12))</f>
        <v>星稜中学校</v>
      </c>
      <c r="I45" s="249">
        <v>3</v>
      </c>
      <c r="J45" s="246" t="s">
        <v>198</v>
      </c>
      <c r="K45" s="249">
        <v>1</v>
      </c>
      <c r="L45" s="247" t="s">
        <v>199</v>
      </c>
      <c r="M45" s="249">
        <v>1</v>
      </c>
      <c r="N45" s="246" t="s">
        <v>200</v>
      </c>
      <c r="O45" s="249">
        <v>1</v>
      </c>
      <c r="P45" s="248" t="str">
        <f>IF($A45="","",INDEX(編成!$M$16:$AI$71,MATCH($B45,編成!$AI$16:$AI$71,0),15))</f>
        <v>Riopedra
加賀FC</v>
      </c>
      <c r="Q45" s="243" t="str">
        <f>IF($A45="","",INDEX(編成!$M$16:$AI$71,MATCH($B45,編成!$AI$16:$AI$71,0),18))</f>
        <v>育成</v>
      </c>
      <c r="R45" s="345" t="str">
        <f>IF($A45="","",INDEX(編成!$M$16:$AI$71,MATCH($B45,編成!$AI$16:$AI$71,0),19))</f>
        <v>育成</v>
      </c>
    </row>
    <row r="46" spans="1:18" ht="15" customHeight="1" x14ac:dyDescent="0.25">
      <c r="A46" s="156">
        <f>IF(MAX(編成!$AI$16:$AI$71)&lt;記入!$B46,"",INDEX(編成!$M$16:$AI$71,MATCH(記入!$B46,編成!$AI$16:$AI$71,0),2))</f>
        <v>122</v>
      </c>
      <c r="B46">
        <v>40</v>
      </c>
      <c r="C46" s="241" t="str">
        <f>IF(A46="","",INDEX(編成!$M$16:$AI$71,MATCH($B46,編成!$AI$16:$AI$71,0),4))</f>
        <v>②</v>
      </c>
      <c r="D46" s="242">
        <f>IF($A46="","",INDEX(編成!$M$16:$AI$71,MATCH($B46,編成!$AI$16:$AI$71,0),5))</f>
        <v>42624</v>
      </c>
      <c r="E46" s="243" t="str">
        <f>IF($A46="","",INDEX(編成!$M$16:$AI$71,MATCH($B46,編成!$AI$16:$AI$71,0),7))</f>
        <v>火</v>
      </c>
      <c r="F46" s="243" t="str">
        <f>IF($A46="","",INDEX(編成!$M$16:$AI$71,MATCH($B46,編成!$AI$16:$AI$71,0),8))</f>
        <v>能登島Ｂ</v>
      </c>
      <c r="G46" s="244">
        <f>IF($A46="","",INDEX(編成!$M$16:$AI$71,MATCH($B46,編成!$AI$16:$AI$71,0),10))</f>
        <v>0.39583333333333331</v>
      </c>
      <c r="H46" s="245" t="str">
        <f>IF($A46="","",INDEX(編成!$M$16:$AI$71,MATCH($B46,編成!$AI$16:$AI$71,0),12))</f>
        <v>ツエーゲン
金沢U-15
1st</v>
      </c>
      <c r="I46" s="249">
        <v>3</v>
      </c>
      <c r="J46" s="246" t="s">
        <v>198</v>
      </c>
      <c r="K46" s="249">
        <v>1</v>
      </c>
      <c r="L46" s="247" t="s">
        <v>199</v>
      </c>
      <c r="M46" s="249">
        <v>0</v>
      </c>
      <c r="N46" s="246" t="s">
        <v>200</v>
      </c>
      <c r="O46" s="249">
        <v>0</v>
      </c>
      <c r="P46" s="248" t="str">
        <f>IF($A46="","",INDEX(編成!$M$16:$AI$71,MATCH($B46,編成!$AI$16:$AI$71,0),15))</f>
        <v>セブン能登
1st</v>
      </c>
      <c r="Q46" s="243" t="str">
        <f>IF($A46="","",INDEX(編成!$M$16:$AI$71,MATCH($B46,編成!$AI$16:$AI$71,0),18))</f>
        <v>育成</v>
      </c>
      <c r="R46" s="345" t="str">
        <f>IF($A46="","",INDEX(編成!$M$16:$AI$71,MATCH($B46,編成!$AI$16:$AI$71,0),19))</f>
        <v>育成</v>
      </c>
    </row>
    <row r="47" spans="1:18" ht="15" customHeight="1" x14ac:dyDescent="0.25">
      <c r="A47" s="156">
        <f>IF(MAX(編成!$AI$16:$AI$71)&lt;記入!$B47,"",INDEX(編成!$M$16:$AI$71,MATCH(記入!$B47,編成!$AI$16:$AI$71,0),2))</f>
        <v>142</v>
      </c>
      <c r="B47">
        <v>41</v>
      </c>
      <c r="C47" s="241" t="str">
        <f>IF(A47="","",INDEX(編成!$M$16:$AI$71,MATCH($B47,編成!$AI$16:$AI$71,0),4))</f>
        <v>②</v>
      </c>
      <c r="D47" s="242">
        <f>IF($A47="","",INDEX(編成!$M$16:$AI$71,MATCH($B47,編成!$AI$16:$AI$71,0),5))</f>
        <v>42644</v>
      </c>
      <c r="E47" s="243" t="str">
        <f>IF($A47="","",INDEX(編成!$M$16:$AI$71,MATCH($B47,編成!$AI$16:$AI$71,0),7))</f>
        <v>火</v>
      </c>
      <c r="F47" s="243" t="str">
        <f>IF($A47="","",INDEX(編成!$M$16:$AI$71,MATCH($B47,編成!$AI$16:$AI$71,0),8))</f>
        <v>金沢市民</v>
      </c>
      <c r="G47" s="244">
        <f>IF($A47="","",INDEX(編成!$M$16:$AI$71,MATCH($B47,編成!$AI$16:$AI$71,0),10))</f>
        <v>0.41666666666666669</v>
      </c>
      <c r="H47" s="245" t="str">
        <f>IF($A47="","",INDEX(編成!$M$16:$AI$71,MATCH($B47,編成!$AI$16:$AI$71,0),12))</f>
        <v>ツエーゲン
金沢U-15
1st</v>
      </c>
      <c r="I47" s="249">
        <v>7</v>
      </c>
      <c r="J47" s="246" t="s">
        <v>198</v>
      </c>
      <c r="K47" s="249">
        <v>1</v>
      </c>
      <c r="L47" s="247" t="s">
        <v>199</v>
      </c>
      <c r="M47" s="249">
        <v>0</v>
      </c>
      <c r="N47" s="246" t="s">
        <v>200</v>
      </c>
      <c r="O47" s="249">
        <v>0</v>
      </c>
      <c r="P47" s="248" t="str">
        <f>IF($A47="","",INDEX(編成!$M$16:$AI$71,MATCH($B47,編成!$AI$16:$AI$71,0),15))</f>
        <v>Riopedra
加賀FC</v>
      </c>
      <c r="Q47" s="243" t="str">
        <f>IF($A47="","",INDEX(編成!$M$16:$AI$71,MATCH($B47,編成!$AI$16:$AI$71,0),18))</f>
        <v>ﾍﾐﾆｽ1st</v>
      </c>
      <c r="R47" s="345" t="str">
        <f>IF($A47="","",INDEX(編成!$M$16:$AI$71,MATCH($B47,編成!$AI$16:$AI$71,0),19))</f>
        <v>セブン1st</v>
      </c>
    </row>
    <row r="48" spans="1:18" ht="15" customHeight="1" x14ac:dyDescent="0.25">
      <c r="A48" s="156">
        <f>IF(MAX(編成!$AI$16:$AI$71)&lt;記入!$B48,"",INDEX(編成!$M$16:$AI$71,MATCH(記入!$B48,編成!$AI$16:$AI$71,0),2))</f>
        <v>272</v>
      </c>
      <c r="B48" s="223">
        <v>42</v>
      </c>
      <c r="C48" s="241" t="str">
        <f>IF(A48="","",INDEX(編成!$M$16:$AI$71,MATCH($B48,編成!$AI$16:$AI$71,0),4))</f>
        <v>②</v>
      </c>
      <c r="D48" s="242">
        <f>IF($A48="","",INDEX(編成!$M$16:$AI$71,MATCH($B48,編成!$AI$16:$AI$71,0),5))</f>
        <v>42644</v>
      </c>
      <c r="E48" s="243" t="str">
        <f>IF($A48="","",INDEX(編成!$M$16:$AI$71,MATCH($B48,編成!$AI$16:$AI$71,0),7))</f>
        <v>火</v>
      </c>
      <c r="F48" s="243" t="str">
        <f>IF($A48="","",INDEX(編成!$M$16:$AI$71,MATCH($B48,編成!$AI$16:$AI$71,0),8))</f>
        <v>金沢市民</v>
      </c>
      <c r="G48" s="244">
        <f>IF($A48="","",INDEX(編成!$M$16:$AI$71,MATCH($B48,編成!$AI$16:$AI$71,0),10))</f>
        <v>0.49305555555555558</v>
      </c>
      <c r="H48" s="245" t="str">
        <f>IF($A48="","",INDEX(編成!$M$16:$AI$71,MATCH($B48,編成!$AI$16:$AI$71,0),12))</f>
        <v>セブン能登
1st</v>
      </c>
      <c r="I48" s="249">
        <v>4</v>
      </c>
      <c r="J48" s="246" t="s">
        <v>198</v>
      </c>
      <c r="K48" s="249">
        <v>2</v>
      </c>
      <c r="L48" s="247" t="s">
        <v>199</v>
      </c>
      <c r="M48" s="249">
        <v>0</v>
      </c>
      <c r="N48" s="246" t="s">
        <v>200</v>
      </c>
      <c r="O48" s="249">
        <v>1</v>
      </c>
      <c r="P48" s="248" t="str">
        <f>IF($A48="","",INDEX(編成!$M$16:$AI$71,MATCH($B48,編成!$AI$16:$AI$71,0),15))</f>
        <v>ヘミニス
金沢FC
1st</v>
      </c>
      <c r="Q48" s="243" t="str">
        <f>IF($A48="","",INDEX(編成!$M$16:$AI$71,MATCH($B48,編成!$AI$16:$AI$71,0),18))</f>
        <v>Riopedra</v>
      </c>
      <c r="R48" s="345" t="str">
        <f>IF($A48="","",INDEX(編成!$M$16:$AI$71,MATCH($B48,編成!$AI$16:$AI$71,0),19))</f>
        <v>ﾂｴｰｹﾞﾝ1st</v>
      </c>
    </row>
    <row r="49" spans="1:18" ht="15" customHeight="1" x14ac:dyDescent="0.25">
      <c r="A49" s="156">
        <f>IF(MAX(編成!$AI$16:$AI$71)&lt;記入!$B49,"",INDEX(編成!$M$16:$AI$71,MATCH(記入!$B49,編成!$AI$16:$AI$71,0),2))</f>
        <v>682</v>
      </c>
      <c r="B49">
        <v>43</v>
      </c>
      <c r="C49" s="241" t="str">
        <f>IF(A49="","",INDEX(編成!$M$16:$AI$71,MATCH($B49,編成!$AI$16:$AI$71,0),4))</f>
        <v>②</v>
      </c>
      <c r="D49" s="242">
        <f>IF($A49="","",INDEX(編成!$M$16:$AI$71,MATCH($B49,編成!$AI$16:$AI$71,0),5))</f>
        <v>42645</v>
      </c>
      <c r="E49" s="243" t="str">
        <f>IF($A49="","",INDEX(編成!$M$16:$AI$71,MATCH($B49,編成!$AI$16:$AI$71,0),7))</f>
        <v>火</v>
      </c>
      <c r="F49" s="243" t="str">
        <f>IF($A49="","",INDEX(編成!$M$16:$AI$71,MATCH($B49,編成!$AI$16:$AI$71,0),8))</f>
        <v>かほく市S</v>
      </c>
      <c r="G49" s="244">
        <f>IF($A49="","",INDEX(編成!$M$16:$AI$71,MATCH($B49,編成!$AI$16:$AI$71,0),10))</f>
        <v>0.375</v>
      </c>
      <c r="H49" s="245" t="str">
        <f>IF($A49="","",INDEX(編成!$M$16:$AI$71,MATCH($B49,編成!$AI$16:$AI$71,0),12))</f>
        <v>FC.
SOUTHERN
1st</v>
      </c>
      <c r="I49" s="249">
        <v>16</v>
      </c>
      <c r="J49" s="246" t="s">
        <v>198</v>
      </c>
      <c r="K49" s="249">
        <v>4</v>
      </c>
      <c r="L49" s="247" t="s">
        <v>199</v>
      </c>
      <c r="M49" s="249">
        <v>0</v>
      </c>
      <c r="N49" s="246" t="s">
        <v>200</v>
      </c>
      <c r="O49" s="249">
        <v>0</v>
      </c>
      <c r="P49" s="248" t="str">
        <f>IF($A49="","",INDEX(編成!$M$16:$AI$71,MATCH($B49,編成!$AI$16:$AI$71,0),15))</f>
        <v>テイヘンズ
FC　1st</v>
      </c>
      <c r="Q49" s="243" t="str">
        <f>IF($A49="","",INDEX(編成!$M$16:$AI$71,MATCH($B49,編成!$AI$16:$AI$71,0),18))</f>
        <v>星稜中</v>
      </c>
      <c r="R49" s="345" t="str">
        <f>IF($A49="","",INDEX(編成!$M$16:$AI$71,MATCH($B49,編成!$AI$16:$AI$71,0),19))</f>
        <v>FC小松1st</v>
      </c>
    </row>
    <row r="50" spans="1:18" ht="15" customHeight="1" x14ac:dyDescent="0.25">
      <c r="A50" s="156">
        <f>IF(MAX(編成!$AI$16:$AI$71)&lt;記入!$B50,"",INDEX(編成!$M$16:$AI$71,MATCH(記入!$B50,編成!$AI$16:$AI$71,0),2))</f>
        <v>352</v>
      </c>
      <c r="B50">
        <v>44</v>
      </c>
      <c r="C50" s="241" t="str">
        <f>IF(A50="","",INDEX(編成!$M$16:$AI$71,MATCH($B50,編成!$AI$16:$AI$71,0),4))</f>
        <v>②</v>
      </c>
      <c r="D50" s="242">
        <f>IF($A50="","",INDEX(編成!$M$16:$AI$71,MATCH($B50,編成!$AI$16:$AI$71,0),5))</f>
        <v>42645</v>
      </c>
      <c r="E50" s="243" t="str">
        <f>IF($A50="","",INDEX(編成!$M$16:$AI$71,MATCH($B50,編成!$AI$16:$AI$71,0),7))</f>
        <v>火</v>
      </c>
      <c r="F50" s="243" t="str">
        <f>IF($A50="","",INDEX(編成!$M$16:$AI$71,MATCH($B50,編成!$AI$16:$AI$71,0),8))</f>
        <v>かほく市S</v>
      </c>
      <c r="G50" s="244">
        <f>IF($A50="","",INDEX(編成!$M$16:$AI$71,MATCH($B50,編成!$AI$16:$AI$71,0),10))</f>
        <v>0.4513888888888889</v>
      </c>
      <c r="H50" s="245" t="str">
        <f>IF($A50="","",INDEX(編成!$M$16:$AI$71,MATCH($B50,編成!$AI$16:$AI$71,0),12))</f>
        <v>星稜中学校</v>
      </c>
      <c r="I50" s="249">
        <v>3</v>
      </c>
      <c r="J50" s="246" t="s">
        <v>198</v>
      </c>
      <c r="K50" s="249">
        <v>2</v>
      </c>
      <c r="L50" s="247" t="s">
        <v>199</v>
      </c>
      <c r="M50" s="249">
        <v>0</v>
      </c>
      <c r="N50" s="246" t="s">
        <v>200</v>
      </c>
      <c r="O50" s="249">
        <v>1</v>
      </c>
      <c r="P50" s="248" t="str">
        <f>IF($A50="","",INDEX(編成!$M$16:$AI$71,MATCH($B50,編成!$AI$16:$AI$71,0),15))</f>
        <v>FC小松
1st</v>
      </c>
      <c r="Q50" s="243" t="str">
        <f>IF($A50="","",INDEX(編成!$M$16:$AI$71,MATCH($B50,編成!$AI$16:$AI$71,0),18))</f>
        <v>サザン1st</v>
      </c>
      <c r="R50" s="345" t="str">
        <f>IF($A50="","",INDEX(編成!$M$16:$AI$71,MATCH($B50,編成!$AI$16:$AI$71,0),19))</f>
        <v>ﾃｲﾍﾝｽﾞ1st</v>
      </c>
    </row>
    <row r="51" spans="1:18" ht="15" customHeight="1" x14ac:dyDescent="0.25">
      <c r="A51" s="156">
        <f>IF(MAX(編成!$AI$16:$AI$71)&lt;記入!$B51,"",INDEX(編成!$M$16:$AI$71,MATCH(記入!$B51,編成!$AI$16:$AI$71,0),2))</f>
        <v>182</v>
      </c>
      <c r="B51">
        <v>45</v>
      </c>
      <c r="C51" s="241" t="str">
        <f>IF(A51="","",INDEX(編成!$M$16:$AI$71,MATCH($B51,編成!$AI$16:$AI$71,0),4))</f>
        <v>②</v>
      </c>
      <c r="D51" s="242">
        <f>IF($A51="","",INDEX(編成!$M$16:$AI$71,MATCH($B51,編成!$AI$16:$AI$71,0),5))</f>
        <v>42658</v>
      </c>
      <c r="E51" s="243" t="str">
        <f>IF($A51="","",INDEX(編成!$M$16:$AI$71,MATCH($B51,編成!$AI$16:$AI$71,0),7))</f>
        <v>火</v>
      </c>
      <c r="F51" s="243" t="str">
        <f>IF($A51="","",INDEX(編成!$M$16:$AI$71,MATCH($B51,編成!$AI$16:$AI$71,0),8))</f>
        <v>金沢市民</v>
      </c>
      <c r="G51" s="244">
        <f>IF($A51="","",INDEX(編成!$M$16:$AI$71,MATCH($B51,編成!$AI$16:$AI$71,0),10))</f>
        <v>0.41666666666666669</v>
      </c>
      <c r="H51" s="245" t="str">
        <f>IF($A51="","",INDEX(編成!$M$16:$AI$71,MATCH($B51,編成!$AI$16:$AI$71,0),12))</f>
        <v>ツエーゲン
金沢U-15
1st</v>
      </c>
      <c r="I51" s="249"/>
      <c r="J51" s="246" t="s">
        <v>198</v>
      </c>
      <c r="K51" s="249"/>
      <c r="L51" s="247" t="s">
        <v>199</v>
      </c>
      <c r="M51" s="249"/>
      <c r="N51" s="246" t="s">
        <v>200</v>
      </c>
      <c r="O51" s="249"/>
      <c r="P51" s="248" t="str">
        <f>IF($A51="","",INDEX(編成!$M$16:$AI$71,MATCH($B51,編成!$AI$16:$AI$71,0),15))</f>
        <v>テイヘンズ
FC　1st</v>
      </c>
      <c r="Q51" s="243" t="str">
        <f>IF($A51="","",INDEX(編成!$M$16:$AI$71,MATCH($B51,編成!$AI$16:$AI$71,0),18))</f>
        <v>セブン1st</v>
      </c>
      <c r="R51" s="345" t="str">
        <f>IF($A51="","",INDEX(編成!$M$16:$AI$71,MATCH($B51,編成!$AI$16:$AI$71,0),19))</f>
        <v>FC小松1st</v>
      </c>
    </row>
    <row r="52" spans="1:18" ht="15" customHeight="1" x14ac:dyDescent="0.25">
      <c r="A52" s="156">
        <f>IF(MAX(編成!$AI$16:$AI$71)&lt;記入!$B52,"",INDEX(編成!$M$16:$AI$71,MATCH(記入!$B52,編成!$AI$16:$AI$71,0),2))</f>
        <v>252</v>
      </c>
      <c r="B52">
        <v>46</v>
      </c>
      <c r="C52" s="241" t="str">
        <f>IF(A52="","",INDEX(編成!$M$16:$AI$71,MATCH($B52,編成!$AI$16:$AI$71,0),4))</f>
        <v>②</v>
      </c>
      <c r="D52" s="242">
        <f>IF($A52="","",INDEX(編成!$M$16:$AI$71,MATCH($B52,編成!$AI$16:$AI$71,0),5))</f>
        <v>42658</v>
      </c>
      <c r="E52" s="243" t="str">
        <f>IF($A52="","",INDEX(編成!$M$16:$AI$71,MATCH($B52,編成!$AI$16:$AI$71,0),7))</f>
        <v>火</v>
      </c>
      <c r="F52" s="243" t="str">
        <f>IF($A52="","",INDEX(編成!$M$16:$AI$71,MATCH($B52,編成!$AI$16:$AI$71,0),8))</f>
        <v>金沢市民</v>
      </c>
      <c r="G52" s="244">
        <f>IF($A52="","",INDEX(編成!$M$16:$AI$71,MATCH($B52,編成!$AI$16:$AI$71,0),10))</f>
        <v>0.5</v>
      </c>
      <c r="H52" s="245" t="str">
        <f>IF($A52="","",INDEX(編成!$M$16:$AI$71,MATCH($B52,編成!$AI$16:$AI$71,0),12))</f>
        <v>セブン能登
1st</v>
      </c>
      <c r="I52" s="249"/>
      <c r="J52" s="246" t="s">
        <v>198</v>
      </c>
      <c r="K52" s="249"/>
      <c r="L52" s="247" t="s">
        <v>199</v>
      </c>
      <c r="M52" s="249"/>
      <c r="N52" s="246" t="s">
        <v>200</v>
      </c>
      <c r="O52" s="249"/>
      <c r="P52" s="248" t="str">
        <f>IF($A52="","",INDEX(編成!$M$16:$AI$71,MATCH($B52,編成!$AI$16:$AI$71,0),15))</f>
        <v>FC小松
1st</v>
      </c>
      <c r="Q52" s="243" t="str">
        <f>IF($A52="","",INDEX(編成!$M$16:$AI$71,MATCH($B52,編成!$AI$16:$AI$71,0),18))</f>
        <v>ﾂｴｰｹﾞﾝ1st</v>
      </c>
      <c r="R52" s="345" t="str">
        <f>IF($A52="","",INDEX(編成!$M$16:$AI$71,MATCH($B52,編成!$AI$16:$AI$71,0),19))</f>
        <v>ﾃｲﾍﾝｽﾞ1st</v>
      </c>
    </row>
    <row r="53" spans="1:18" ht="15" customHeight="1" x14ac:dyDescent="0.25">
      <c r="A53" s="156">
        <f>IF(MAX(編成!$AI$16:$AI$71)&lt;記入!$B53,"",INDEX(編成!$M$16:$AI$71,MATCH(記入!$B53,編成!$AI$16:$AI$71,0),2))</f>
        <v>372</v>
      </c>
      <c r="B53">
        <v>47</v>
      </c>
      <c r="C53" s="241" t="str">
        <f>IF(A53="","",INDEX(編成!$M$16:$AI$71,MATCH($B53,編成!$AI$16:$AI$71,0),4))</f>
        <v>②</v>
      </c>
      <c r="D53" s="242">
        <f>IF($A53="","",INDEX(編成!$M$16:$AI$71,MATCH($B53,編成!$AI$16:$AI$71,0),5))</f>
        <v>42659</v>
      </c>
      <c r="E53" s="243" t="str">
        <f>IF($A53="","",INDEX(編成!$M$16:$AI$71,MATCH($B53,編成!$AI$16:$AI$71,0),7))</f>
        <v>火</v>
      </c>
      <c r="F53" s="243" t="str">
        <f>IF($A53="","",INDEX(編成!$M$16:$AI$71,MATCH($B53,編成!$AI$16:$AI$71,0),8))</f>
        <v>かほく市S</v>
      </c>
      <c r="G53" s="244">
        <f>IF($A53="","",INDEX(編成!$M$16:$AI$71,MATCH($B53,編成!$AI$16:$AI$71,0),10))</f>
        <v>0.375</v>
      </c>
      <c r="H53" s="245" t="str">
        <f>IF($A53="","",INDEX(編成!$M$16:$AI$71,MATCH($B53,編成!$AI$16:$AI$71,0),12))</f>
        <v>星稜中学校</v>
      </c>
      <c r="I53" s="249"/>
      <c r="J53" s="246" t="s">
        <v>198</v>
      </c>
      <c r="K53" s="249"/>
      <c r="L53" s="247" t="s">
        <v>199</v>
      </c>
      <c r="M53" s="249"/>
      <c r="N53" s="246" t="s">
        <v>200</v>
      </c>
      <c r="O53" s="249"/>
      <c r="P53" s="248" t="str">
        <f>IF($A53="","",INDEX(編成!$M$16:$AI$71,MATCH($B53,編成!$AI$16:$AI$71,0),15))</f>
        <v>ヘミニス
金沢FC
1st</v>
      </c>
      <c r="Q53" s="243" t="str">
        <f>IF($A53="","",INDEX(編成!$M$16:$AI$71,MATCH($B53,編成!$AI$16:$AI$71,0),18))</f>
        <v>Riopedra</v>
      </c>
      <c r="R53" s="345" t="str">
        <f>IF($A53="","",INDEX(編成!$M$16:$AI$71,MATCH($B53,編成!$AI$16:$AI$71,0),19))</f>
        <v>サザン1st</v>
      </c>
    </row>
    <row r="54" spans="1:18" ht="15" customHeight="1" x14ac:dyDescent="0.25">
      <c r="A54" s="156">
        <f>IF(MAX(編成!$AI$16:$AI$71)&lt;記入!$B54,"",INDEX(編成!$M$16:$AI$71,MATCH(記入!$B54,編成!$AI$16:$AI$71,0),2))</f>
        <v>462</v>
      </c>
      <c r="B54">
        <v>48</v>
      </c>
      <c r="C54" s="241" t="str">
        <f>IF(A54="","",INDEX(編成!$M$16:$AI$71,MATCH($B54,編成!$AI$16:$AI$71,0),4))</f>
        <v>②</v>
      </c>
      <c r="D54" s="242">
        <f>IF($A54="","",INDEX(編成!$M$16:$AI$71,MATCH($B54,編成!$AI$16:$AI$71,0),5))</f>
        <v>42659</v>
      </c>
      <c r="E54" s="243" t="str">
        <f>IF($A54="","",INDEX(編成!$M$16:$AI$71,MATCH($B54,編成!$AI$16:$AI$71,0),7))</f>
        <v>火</v>
      </c>
      <c r="F54" s="243" t="str">
        <f>IF($A54="","",INDEX(編成!$M$16:$AI$71,MATCH($B54,編成!$AI$16:$AI$71,0),8))</f>
        <v>かほく市S</v>
      </c>
      <c r="G54" s="244">
        <f>IF($A54="","",INDEX(編成!$M$16:$AI$71,MATCH($B54,編成!$AI$16:$AI$71,0),10))</f>
        <v>0.4513888888888889</v>
      </c>
      <c r="H54" s="245" t="str">
        <f>IF($A54="","",INDEX(編成!$M$16:$AI$71,MATCH($B54,編成!$AI$16:$AI$71,0),12))</f>
        <v>Riopedra
加賀FC</v>
      </c>
      <c r="I54" s="249"/>
      <c r="J54" s="246" t="s">
        <v>198</v>
      </c>
      <c r="K54" s="249"/>
      <c r="L54" s="247" t="s">
        <v>199</v>
      </c>
      <c r="M54" s="249"/>
      <c r="N54" s="246" t="s">
        <v>200</v>
      </c>
      <c r="O54" s="249"/>
      <c r="P54" s="248" t="str">
        <f>IF($A54="","",INDEX(編成!$M$16:$AI$71,MATCH($B54,編成!$AI$16:$AI$71,0),15))</f>
        <v>FC.
SOUTHERN
1st</v>
      </c>
      <c r="Q54" s="243" t="str">
        <f>IF($A54="","",INDEX(編成!$M$16:$AI$71,MATCH($B54,編成!$AI$16:$AI$71,0),18))</f>
        <v>ﾍﾐﾆｽ1st</v>
      </c>
      <c r="R54" s="345" t="str">
        <f>IF($A54="","",INDEX(編成!$M$16:$AI$71,MATCH($B54,編成!$AI$16:$AI$71,0),19))</f>
        <v>星稜中</v>
      </c>
    </row>
    <row r="55" spans="1:18" ht="15" customHeight="1" x14ac:dyDescent="0.25">
      <c r="A55" s="156">
        <f>IF(MAX(編成!$AI$16:$AI$71)&lt;記入!$B55,"",INDEX(編成!$M$16:$AI$71,MATCH(記入!$B55,編成!$AI$16:$AI$71,0),2))</f>
        <v>782</v>
      </c>
      <c r="B55">
        <v>49</v>
      </c>
      <c r="C55" s="241" t="str">
        <f>IF(A55="","",INDEX(編成!$M$16:$AI$71,MATCH($B55,編成!$AI$16:$AI$71,0),4))</f>
        <v>②</v>
      </c>
      <c r="D55" s="242">
        <f>IF($A55="","",INDEX(編成!$M$16:$AI$71,MATCH($B55,編成!$AI$16:$AI$71,0),5))</f>
        <v>42665</v>
      </c>
      <c r="E55" s="243" t="str">
        <f>IF($A55="","",INDEX(編成!$M$16:$AI$71,MATCH($B55,編成!$AI$16:$AI$71,0),7))</f>
        <v>火</v>
      </c>
      <c r="F55" s="243" t="str">
        <f>IF($A55="","",INDEX(編成!$M$16:$AI$71,MATCH($B55,編成!$AI$16:$AI$71,0),8))</f>
        <v>金沢交流</v>
      </c>
      <c r="G55" s="244">
        <f>IF($A55="","",INDEX(編成!$M$16:$AI$71,MATCH($B55,編成!$AI$16:$AI$71,0),10))</f>
        <v>0.375</v>
      </c>
      <c r="H55" s="245" t="str">
        <f>IF($A55="","",INDEX(編成!$M$16:$AI$71,MATCH($B55,編成!$AI$16:$AI$71,0),12))</f>
        <v>ヘミニス
金沢FC
1st</v>
      </c>
      <c r="I55" s="249"/>
      <c r="J55" s="246" t="s">
        <v>198</v>
      </c>
      <c r="K55" s="249"/>
      <c r="L55" s="247" t="s">
        <v>199</v>
      </c>
      <c r="M55" s="249"/>
      <c r="N55" s="246" t="s">
        <v>200</v>
      </c>
      <c r="O55" s="249"/>
      <c r="P55" s="248" t="str">
        <f>IF($A55="","",INDEX(編成!$M$16:$AI$71,MATCH($B55,編成!$AI$16:$AI$71,0),15))</f>
        <v>テイヘンズ
FC　1st</v>
      </c>
      <c r="Q55" s="243" t="str">
        <f>IF($A55="","",INDEX(編成!$M$16:$AI$71,MATCH($B55,編成!$AI$16:$AI$71,0),18))</f>
        <v>育成</v>
      </c>
      <c r="R55" s="345" t="str">
        <f>IF($A55="","",INDEX(編成!$M$16:$AI$71,MATCH($B55,編成!$AI$16:$AI$71,0),19))</f>
        <v>育成</v>
      </c>
    </row>
    <row r="56" spans="1:18" ht="15" customHeight="1" x14ac:dyDescent="0.25">
      <c r="A56" s="156">
        <f>IF(MAX(編成!$AI$16:$AI$71)&lt;記入!$B56,"",INDEX(編成!$M$16:$AI$71,MATCH(記入!$B56,編成!$AI$16:$AI$71,0),2))</f>
        <v>262</v>
      </c>
      <c r="B56">
        <v>50</v>
      </c>
      <c r="C56" s="241" t="str">
        <f>IF(A56="","",INDEX(編成!$M$16:$AI$71,MATCH($B56,編成!$AI$16:$AI$71,0),4))</f>
        <v>②</v>
      </c>
      <c r="D56" s="242">
        <f>IF($A56="","",INDEX(編成!$M$16:$AI$71,MATCH($B56,編成!$AI$16:$AI$71,0),5))</f>
        <v>42673</v>
      </c>
      <c r="E56" s="243" t="str">
        <f>IF($A56="","",INDEX(編成!$M$16:$AI$71,MATCH($B56,編成!$AI$16:$AI$71,0),7))</f>
        <v>火</v>
      </c>
      <c r="F56" s="243" t="str">
        <f>IF($A56="","",INDEX(編成!$M$16:$AI$71,MATCH($B56,編成!$AI$16:$AI$71,0),8))</f>
        <v>星稜ｻｯｶｰ場</v>
      </c>
      <c r="G56" s="244">
        <f>IF($A56="","",INDEX(編成!$M$16:$AI$71,MATCH($B56,編成!$AI$16:$AI$71,0),10))</f>
        <v>0.54861111111111105</v>
      </c>
      <c r="H56" s="245" t="str">
        <f>IF($A56="","",INDEX(編成!$M$16:$AI$71,MATCH($B56,編成!$AI$16:$AI$71,0),12))</f>
        <v>セブン能登
1st</v>
      </c>
      <c r="I56" s="249"/>
      <c r="J56" s="246" t="s">
        <v>198</v>
      </c>
      <c r="K56" s="249"/>
      <c r="L56" s="247" t="s">
        <v>199</v>
      </c>
      <c r="M56" s="249"/>
      <c r="N56" s="246" t="s">
        <v>200</v>
      </c>
      <c r="O56" s="249"/>
      <c r="P56" s="248" t="str">
        <f>IF($A56="","",INDEX(編成!$M$16:$AI$71,MATCH($B56,編成!$AI$16:$AI$71,0),15))</f>
        <v>FC.
SOUTHERN
1st</v>
      </c>
      <c r="Q56" s="243" t="str">
        <f>IF($A56="","",INDEX(編成!$M$16:$AI$71,MATCH($B56,編成!$AI$16:$AI$71,0),18))</f>
        <v>星稜中</v>
      </c>
      <c r="R56" s="345" t="str">
        <f>IF($A56="","",INDEX(編成!$M$16:$AI$71,MATCH($B56,編成!$AI$16:$AI$71,0),19))</f>
        <v>ﾂｴｰｹﾞﾝ1st</v>
      </c>
    </row>
    <row r="57" spans="1:18" ht="15" customHeight="1" x14ac:dyDescent="0.25">
      <c r="A57" s="156">
        <f>IF(MAX(編成!$AI$16:$AI$71)&lt;記入!$B57,"",INDEX(編成!$M$16:$AI$71,MATCH(記入!$B57,編成!$AI$16:$AI$71,0),2))</f>
        <v>132</v>
      </c>
      <c r="B57">
        <v>51</v>
      </c>
      <c r="C57" s="241" t="str">
        <f>IF(A57="","",INDEX(編成!$M$16:$AI$71,MATCH($B57,編成!$AI$16:$AI$71,0),4))</f>
        <v>②</v>
      </c>
      <c r="D57" s="242">
        <f>IF($A57="","",INDEX(編成!$M$16:$AI$71,MATCH($B57,編成!$AI$16:$AI$71,0),5))</f>
        <v>42673</v>
      </c>
      <c r="E57" s="243" t="str">
        <f>IF($A57="","",INDEX(編成!$M$16:$AI$71,MATCH($B57,編成!$AI$16:$AI$71,0),7))</f>
        <v>火</v>
      </c>
      <c r="F57" s="243" t="str">
        <f>IF($A57="","",INDEX(編成!$M$16:$AI$71,MATCH($B57,編成!$AI$16:$AI$71,0),8))</f>
        <v>星稜ｻｯｶｰ場</v>
      </c>
      <c r="G57" s="244">
        <f>IF($A57="","",INDEX(編成!$M$16:$AI$71,MATCH($B57,編成!$AI$16:$AI$71,0),10))</f>
        <v>0.625</v>
      </c>
      <c r="H57" s="245" t="str">
        <f>IF($A57="","",INDEX(編成!$M$16:$AI$71,MATCH($B57,編成!$AI$16:$AI$71,0),12))</f>
        <v>ツエーゲン
金沢U-15
1st</v>
      </c>
      <c r="I57" s="249"/>
      <c r="J57" s="246" t="s">
        <v>198</v>
      </c>
      <c r="K57" s="249"/>
      <c r="L57" s="247" t="s">
        <v>199</v>
      </c>
      <c r="M57" s="249"/>
      <c r="N57" s="246" t="s">
        <v>200</v>
      </c>
      <c r="O57" s="249"/>
      <c r="P57" s="248" t="str">
        <f>IF($A57="","",INDEX(編成!$M$16:$AI$71,MATCH($B57,編成!$AI$16:$AI$71,0),15))</f>
        <v>星稜中学校</v>
      </c>
      <c r="Q57" s="243" t="str">
        <f>IF($A57="","",INDEX(編成!$M$16:$AI$71,MATCH($B57,編成!$AI$16:$AI$71,0),18))</f>
        <v>サザン1st</v>
      </c>
      <c r="R57" s="345" t="str">
        <f>IF($A57="","",INDEX(編成!$M$16:$AI$71,MATCH($B57,編成!$AI$16:$AI$71,0),19))</f>
        <v>セブン1st</v>
      </c>
    </row>
    <row r="58" spans="1:18" ht="15" customHeight="1" x14ac:dyDescent="0.25">
      <c r="A58" s="156">
        <f>IF(MAX(編成!$AI$16:$AI$71)&lt;記入!$B58,"",INDEX(編成!$M$16:$AI$71,MATCH(記入!$B58,編成!$AI$16:$AI$71,0),2))</f>
        <v>452</v>
      </c>
      <c r="B58">
        <v>52</v>
      </c>
      <c r="C58" s="241" t="str">
        <f>IF(A58="","",INDEX(編成!$M$16:$AI$71,MATCH($B58,編成!$AI$16:$AI$71,0),4))</f>
        <v>②</v>
      </c>
      <c r="D58" s="242">
        <f>IF($A58="","",INDEX(編成!$M$16:$AI$71,MATCH($B58,編成!$AI$16:$AI$71,0),5))</f>
        <v>42673</v>
      </c>
      <c r="E58" s="243" t="str">
        <f>IF($A58="","",INDEX(編成!$M$16:$AI$71,MATCH($B58,編成!$AI$16:$AI$71,0),7))</f>
        <v>火</v>
      </c>
      <c r="F58" s="243" t="str">
        <f>IF($A58="","",INDEX(編成!$M$16:$AI$71,MATCH($B58,編成!$AI$16:$AI$71,0),8))</f>
        <v>小松市民</v>
      </c>
      <c r="G58" s="244">
        <f>IF($A58="","",INDEX(編成!$M$16:$AI$71,MATCH($B58,編成!$AI$16:$AI$71,0),10))</f>
        <v>0.41666666666666669</v>
      </c>
      <c r="H58" s="245" t="str">
        <f>IF($A58="","",INDEX(編成!$M$16:$AI$71,MATCH($B58,編成!$AI$16:$AI$71,0),12))</f>
        <v>Riopedra
加賀FC</v>
      </c>
      <c r="I58" s="249"/>
      <c r="J58" s="246" t="s">
        <v>198</v>
      </c>
      <c r="K58" s="249"/>
      <c r="L58" s="247" t="s">
        <v>199</v>
      </c>
      <c r="M58" s="249"/>
      <c r="N58" s="246" t="s">
        <v>200</v>
      </c>
      <c r="O58" s="249"/>
      <c r="P58" s="248" t="str">
        <f>IF($A58="","",INDEX(編成!$M$16:$AI$71,MATCH($B58,編成!$AI$16:$AI$71,0),15))</f>
        <v>FC小松
1st</v>
      </c>
      <c r="Q58" s="243" t="str">
        <f>IF($A58="","",INDEX(編成!$M$16:$AI$71,MATCH($B58,編成!$AI$16:$AI$71,0),18))</f>
        <v>育成</v>
      </c>
      <c r="R58" s="345" t="str">
        <f>IF($A58="","",INDEX(編成!$M$16:$AI$71,MATCH($B58,編成!$AI$16:$AI$71,0),19))</f>
        <v>育成</v>
      </c>
    </row>
    <row r="59" spans="1:18" ht="15" customHeight="1" x14ac:dyDescent="0.25">
      <c r="A59" s="156">
        <f>IF(MAX(編成!$AI$16:$AI$71)&lt;記入!$B59,"",INDEX(編成!$M$16:$AI$71,MATCH(記入!$B59,編成!$AI$16:$AI$71,0),2))</f>
        <v>232</v>
      </c>
      <c r="B59">
        <v>53</v>
      </c>
      <c r="C59" s="241" t="str">
        <f>IF(A59="","",INDEX(編成!$M$16:$AI$71,MATCH($B59,編成!$AI$16:$AI$71,0),4))</f>
        <v>②</v>
      </c>
      <c r="D59" s="242">
        <f>IF($A59="","",INDEX(編成!$M$16:$AI$71,MATCH($B59,編成!$AI$16:$AI$71,0),5))</f>
        <v>42677</v>
      </c>
      <c r="E59" s="243" t="str">
        <f>IF($A59="","",INDEX(編成!$M$16:$AI$71,MATCH($B59,編成!$AI$16:$AI$71,0),7))</f>
        <v>火</v>
      </c>
      <c r="F59" s="243" t="str">
        <f>IF($A59="","",INDEX(編成!$M$16:$AI$71,MATCH($B59,編成!$AI$16:$AI$71,0),8))</f>
        <v>星稜ｻｯｶｰ場</v>
      </c>
      <c r="G59" s="244">
        <f>IF($A59="","",INDEX(編成!$M$16:$AI$71,MATCH($B59,編成!$AI$16:$AI$71,0),10))</f>
        <v>0.55555555555555558</v>
      </c>
      <c r="H59" s="245" t="str">
        <f>IF($A59="","",INDEX(編成!$M$16:$AI$71,MATCH($B59,編成!$AI$16:$AI$71,0),12))</f>
        <v>セブン能登
1st</v>
      </c>
      <c r="I59" s="249"/>
      <c r="J59" s="246" t="s">
        <v>198</v>
      </c>
      <c r="K59" s="249"/>
      <c r="L59" s="247" t="s">
        <v>199</v>
      </c>
      <c r="M59" s="249"/>
      <c r="N59" s="246" t="s">
        <v>200</v>
      </c>
      <c r="O59" s="249"/>
      <c r="P59" s="248" t="str">
        <f>IF($A59="","",INDEX(編成!$M$16:$AI$71,MATCH($B59,編成!$AI$16:$AI$71,0),15))</f>
        <v>星稜中学校</v>
      </c>
      <c r="Q59" s="243" t="str">
        <f>IF($A59="","",INDEX(編成!$M$16:$AI$71,MATCH($B59,編成!$AI$16:$AI$71,0),18))</f>
        <v>FC小松1st</v>
      </c>
      <c r="R59" s="345" t="str">
        <f>IF($A59="","",INDEX(編成!$M$16:$AI$71,MATCH($B59,編成!$AI$16:$AI$71,0),19))</f>
        <v>ﾃｲﾍﾝｽﾞ1st</v>
      </c>
    </row>
    <row r="60" spans="1:18" ht="15" customHeight="1" x14ac:dyDescent="0.25">
      <c r="A60" s="156">
        <f>IF(MAX(編成!$AI$16:$AI$71)&lt;記入!$B60,"",INDEX(編成!$M$16:$AI$71,MATCH(記入!$B60,編成!$AI$16:$AI$71,0),2))</f>
        <v>582</v>
      </c>
      <c r="B60">
        <v>54</v>
      </c>
      <c r="C60" s="241" t="str">
        <f>IF(A60="","",INDEX(編成!$M$16:$AI$71,MATCH($B60,編成!$AI$16:$AI$71,0),4))</f>
        <v>②</v>
      </c>
      <c r="D60" s="242">
        <f>IF($A60="","",INDEX(編成!$M$16:$AI$71,MATCH($B60,編成!$AI$16:$AI$71,0),5))</f>
        <v>42677</v>
      </c>
      <c r="E60" s="243" t="str">
        <f>IF($A60="","",INDEX(編成!$M$16:$AI$71,MATCH($B60,編成!$AI$16:$AI$71,0),7))</f>
        <v>火</v>
      </c>
      <c r="F60" s="243" t="str">
        <f>IF($A60="","",INDEX(編成!$M$16:$AI$71,MATCH($B60,編成!$AI$16:$AI$71,0),8))</f>
        <v>星稜ｻｯｶｰ場</v>
      </c>
      <c r="G60" s="244">
        <f>IF($A60="","",INDEX(編成!$M$16:$AI$71,MATCH($B60,編成!$AI$16:$AI$71,0),10))</f>
        <v>0.63194444444444442</v>
      </c>
      <c r="H60" s="245" t="str">
        <f>IF($A60="","",INDEX(編成!$M$16:$AI$71,MATCH($B60,編成!$AI$16:$AI$71,0),12))</f>
        <v>FC小松
1st</v>
      </c>
      <c r="I60" s="249"/>
      <c r="J60" s="246" t="s">
        <v>198</v>
      </c>
      <c r="K60" s="249"/>
      <c r="L60" s="247" t="s">
        <v>199</v>
      </c>
      <c r="M60" s="249"/>
      <c r="N60" s="246" t="s">
        <v>200</v>
      </c>
      <c r="O60" s="249"/>
      <c r="P60" s="248" t="str">
        <f>IF($A60="","",INDEX(編成!$M$16:$AI$71,MATCH($B60,編成!$AI$16:$AI$71,0),15))</f>
        <v>テイヘンズ
FC　1st</v>
      </c>
      <c r="Q60" s="243" t="str">
        <f>IF($A60="","",INDEX(編成!$M$16:$AI$71,MATCH($B60,編成!$AI$16:$AI$71,0),18))</f>
        <v>星稜中</v>
      </c>
      <c r="R60" s="345" t="str">
        <f>IF($A60="","",INDEX(編成!$M$16:$AI$71,MATCH($B60,編成!$AI$16:$AI$71,0),19))</f>
        <v>セブン1st</v>
      </c>
    </row>
    <row r="61" spans="1:18" ht="15" customHeight="1" x14ac:dyDescent="0.25">
      <c r="A61" s="156">
        <f>IF(MAX(編成!$AI$16:$AI$71)&lt;記入!$B61,"",INDEX(編成!$M$16:$AI$71,MATCH(記入!$B61,編成!$AI$16:$AI$71,0),2))</f>
        <v>472</v>
      </c>
      <c r="B61">
        <v>55</v>
      </c>
      <c r="C61" s="241" t="str">
        <f>IF(A61="","",INDEX(編成!$M$16:$AI$71,MATCH($B61,編成!$AI$16:$AI$71,0),4))</f>
        <v>②</v>
      </c>
      <c r="D61" s="242">
        <f>IF($A61="","",INDEX(編成!$M$16:$AI$71,MATCH($B61,編成!$AI$16:$AI$71,0),5))</f>
        <v>42677</v>
      </c>
      <c r="E61" s="243" t="str">
        <f>IF($A61="","",INDEX(編成!$M$16:$AI$71,MATCH($B61,編成!$AI$16:$AI$71,0),7))</f>
        <v>火</v>
      </c>
      <c r="F61" s="243" t="str">
        <f>IF($A61="","",INDEX(編成!$M$16:$AI$71,MATCH($B61,編成!$AI$16:$AI$71,0),8))</f>
        <v>金沢市民</v>
      </c>
      <c r="G61" s="244">
        <f>IF($A61="","",INDEX(編成!$M$16:$AI$71,MATCH($B61,編成!$AI$16:$AI$71,0),10))</f>
        <v>0.45833333333333331</v>
      </c>
      <c r="H61" s="245" t="str">
        <f>IF($A61="","",INDEX(編成!$M$16:$AI$71,MATCH($B61,編成!$AI$16:$AI$71,0),12))</f>
        <v>Riopedra
加賀FC</v>
      </c>
      <c r="I61" s="249"/>
      <c r="J61" s="246" t="s">
        <v>198</v>
      </c>
      <c r="K61" s="249"/>
      <c r="L61" s="247" t="s">
        <v>199</v>
      </c>
      <c r="M61" s="249"/>
      <c r="N61" s="246" t="s">
        <v>200</v>
      </c>
      <c r="O61" s="249"/>
      <c r="P61" s="248" t="str">
        <f>IF($A61="","",INDEX(編成!$M$16:$AI$71,MATCH($B61,編成!$AI$16:$AI$71,0),15))</f>
        <v>ヘミニス
金沢FC
1st</v>
      </c>
      <c r="Q61" s="243" t="str">
        <f>IF($A61="","",INDEX(編成!$M$16:$AI$71,MATCH($B61,編成!$AI$16:$AI$71,0),18))</f>
        <v>ﾂｴｰｹﾞﾝ1st</v>
      </c>
      <c r="R61" s="345" t="str">
        <f>IF($A61="","",INDEX(編成!$M$16:$AI$71,MATCH($B61,編成!$AI$16:$AI$71,0),19))</f>
        <v>サザン1st</v>
      </c>
    </row>
    <row r="62" spans="1:18" ht="15" customHeight="1" x14ac:dyDescent="0.25">
      <c r="A62" s="156">
        <f>IF(MAX(編成!$AI$16:$AI$71)&lt;記入!$B62,"",INDEX(編成!$M$16:$AI$71,MATCH(記入!$B62,編成!$AI$16:$AI$71,0),2))</f>
        <v>162</v>
      </c>
      <c r="B62" s="223">
        <v>56</v>
      </c>
      <c r="C62" s="241" t="str">
        <f>IF(A62="","",INDEX(編成!$M$16:$AI$71,MATCH($B62,編成!$AI$16:$AI$71,0),4))</f>
        <v>②</v>
      </c>
      <c r="D62" s="242">
        <f>IF($A62="","",INDEX(編成!$M$16:$AI$71,MATCH($B62,編成!$AI$16:$AI$71,0),5))</f>
        <v>42677</v>
      </c>
      <c r="E62" s="243" t="str">
        <f>IF($A62="","",INDEX(編成!$M$16:$AI$71,MATCH($B62,編成!$AI$16:$AI$71,0),7))</f>
        <v>火</v>
      </c>
      <c r="F62" s="243" t="str">
        <f>IF($A62="","",INDEX(編成!$M$16:$AI$71,MATCH($B62,編成!$AI$16:$AI$71,0),8))</f>
        <v>金沢市民</v>
      </c>
      <c r="G62" s="244">
        <f>IF($A62="","",INDEX(編成!$M$16:$AI$71,MATCH($B62,編成!$AI$16:$AI$71,0),10))</f>
        <v>0.54166666666666663</v>
      </c>
      <c r="H62" s="245" t="str">
        <f>IF($A62="","",INDEX(編成!$M$16:$AI$71,MATCH($B62,編成!$AI$16:$AI$71,0),12))</f>
        <v>ツエーゲン
金沢U-15
1st</v>
      </c>
      <c r="I62" s="252"/>
      <c r="J62" s="253" t="s">
        <v>198</v>
      </c>
      <c r="K62" s="252"/>
      <c r="L62" s="254" t="s">
        <v>199</v>
      </c>
      <c r="M62" s="252"/>
      <c r="N62" s="253" t="s">
        <v>200</v>
      </c>
      <c r="O62" s="252"/>
      <c r="P62" s="248" t="str">
        <f>IF($A62="","",INDEX(編成!$M$16:$AI$71,MATCH($B62,編成!$AI$16:$AI$71,0),15))</f>
        <v>FC.
SOUTHERN
1st</v>
      </c>
      <c r="Q62" s="243" t="str">
        <f>IF($A62="","",INDEX(編成!$M$16:$AI$71,MATCH($B62,編成!$AI$16:$AI$71,0),18))</f>
        <v>Riopedra</v>
      </c>
      <c r="R62" s="345" t="str">
        <f>IF($A62="","",INDEX(編成!$M$16:$AI$71,MATCH($B62,編成!$AI$16:$AI$71,0),19))</f>
        <v>ﾍﾐﾆｽ1st</v>
      </c>
    </row>
    <row r="63" spans="1:18" ht="15" customHeight="1" x14ac:dyDescent="0.25"/>
    <row r="64" spans="1:18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</sheetData>
  <mergeCells count="1">
    <mergeCell ref="I6:O6"/>
  </mergeCells>
  <phoneticPr fontId="2"/>
  <printOptions horizontalCentered="1" verticalCentered="1"/>
  <pageMargins left="0.39370078740157483" right="0.39370078740157483" top="0.39370078740157483" bottom="0.39370078740157483" header="0" footer="0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FFFF"/>
  </sheetPr>
  <dimension ref="A1:BP87"/>
  <sheetViews>
    <sheetView view="pageBreakPreview" zoomScale="125" zoomScaleNormal="120" zoomScaleSheetLayoutView="100" workbookViewId="0">
      <pane xSplit="2" ySplit="5" topLeftCell="C15" activePane="bottomRight" state="frozen"/>
      <selection pane="topRight" activeCell="AR51" sqref="AR51:AX58"/>
      <selection pane="bottomLeft" activeCell="AR51" sqref="AR51:AX58"/>
      <selection pane="bottomRight" activeCell="B26" sqref="B26:B35"/>
    </sheetView>
  </sheetViews>
  <sheetFormatPr defaultColWidth="9" defaultRowHeight="12.75" x14ac:dyDescent="0.25"/>
  <cols>
    <col min="1" max="1" width="2.59765625" style="1" hidden="1" customWidth="1"/>
    <col min="2" max="2" width="10" style="1" customWidth="1"/>
    <col min="3" max="3" width="0.73046875" style="1" customWidth="1"/>
    <col min="4" max="4" width="0.59765625" style="1" customWidth="1"/>
    <col min="5" max="5" width="1.86328125" style="1" customWidth="1"/>
    <col min="6" max="6" width="2.59765625" style="1" customWidth="1"/>
    <col min="7" max="7" width="1.86328125" style="1" customWidth="1"/>
    <col min="8" max="8" width="0.59765625" style="1" customWidth="1"/>
    <col min="9" max="9" width="0.73046875" style="1" customWidth="1"/>
    <col min="10" max="10" width="0.73046875" style="3" customWidth="1"/>
    <col min="11" max="11" width="0.59765625" style="1" customWidth="1"/>
    <col min="12" max="12" width="1.86328125" style="1" customWidth="1"/>
    <col min="13" max="13" width="2.59765625" style="1" customWidth="1"/>
    <col min="14" max="14" width="1.86328125" style="1" customWidth="1"/>
    <col min="15" max="15" width="0.59765625" style="1" customWidth="1"/>
    <col min="16" max="16" width="0.73046875" style="3" customWidth="1"/>
    <col min="17" max="17" width="0.73046875" style="1" customWidth="1"/>
    <col min="18" max="18" width="0.59765625" style="1" customWidth="1"/>
    <col min="19" max="19" width="1.86328125" style="1" customWidth="1"/>
    <col min="20" max="20" width="2.59765625" style="1" customWidth="1"/>
    <col min="21" max="21" width="1.86328125" style="1" customWidth="1"/>
    <col min="22" max="22" width="0.59765625" style="1" customWidth="1"/>
    <col min="23" max="24" width="0.73046875" style="1" customWidth="1"/>
    <col min="25" max="25" width="0.59765625" style="1" customWidth="1"/>
    <col min="26" max="26" width="1.86328125" style="1" customWidth="1"/>
    <col min="27" max="27" width="2.59765625" style="1" customWidth="1"/>
    <col min="28" max="28" width="1.86328125" style="1" customWidth="1"/>
    <col min="29" max="29" width="0.59765625" style="1" customWidth="1"/>
    <col min="30" max="31" width="0.73046875" style="1" customWidth="1"/>
    <col min="32" max="32" width="0.59765625" style="1" customWidth="1"/>
    <col min="33" max="33" width="1.86328125" style="1" customWidth="1"/>
    <col min="34" max="34" width="2.59765625" style="1" customWidth="1"/>
    <col min="35" max="35" width="1.86328125" style="1" customWidth="1"/>
    <col min="36" max="36" width="0.59765625" style="1" customWidth="1"/>
    <col min="37" max="38" width="0.73046875" style="1" customWidth="1"/>
    <col min="39" max="39" width="0.59765625" style="1" customWidth="1"/>
    <col min="40" max="40" width="1.86328125" style="1" customWidth="1"/>
    <col min="41" max="41" width="2.59765625" style="1" customWidth="1"/>
    <col min="42" max="42" width="1.86328125" style="1" customWidth="1"/>
    <col min="43" max="43" width="0.59765625" style="1" customWidth="1"/>
    <col min="44" max="45" width="0.73046875" style="1" customWidth="1"/>
    <col min="46" max="46" width="0.59765625" style="1" customWidth="1"/>
    <col min="47" max="47" width="1.86328125" style="1" customWidth="1"/>
    <col min="48" max="48" width="2.59765625" style="1" customWidth="1"/>
    <col min="49" max="49" width="1.86328125" style="1" customWidth="1"/>
    <col min="50" max="50" width="0.59765625" style="1" customWidth="1"/>
    <col min="51" max="52" width="0.73046875" style="1" customWidth="1"/>
    <col min="53" max="53" width="0.59765625" style="1" customWidth="1"/>
    <col min="54" max="54" width="1.73046875" style="1" customWidth="1"/>
    <col min="55" max="55" width="2.59765625" style="1" customWidth="1"/>
    <col min="56" max="56" width="1.86328125" style="1" customWidth="1"/>
    <col min="57" max="57" width="0.59765625" style="1" customWidth="1"/>
    <col min="58" max="58" width="0.73046875" style="1" customWidth="1"/>
    <col min="59" max="63" width="3.73046875" style="1" customWidth="1"/>
    <col min="64" max="64" width="7.86328125" style="1" customWidth="1"/>
    <col min="65" max="65" width="4.73046875" style="1" customWidth="1"/>
    <col min="66" max="66" width="5.3984375" style="1" customWidth="1"/>
    <col min="67" max="67" width="6.3984375" style="1" customWidth="1"/>
    <col min="68" max="68" width="4.3984375" style="1" customWidth="1"/>
    <col min="69" max="16384" width="9" style="1"/>
  </cols>
  <sheetData>
    <row r="1" spans="1:68" ht="20.25" customHeight="1" x14ac:dyDescent="0.25">
      <c r="B1" s="18" t="s">
        <v>204</v>
      </c>
      <c r="S1" s="65" t="s">
        <v>205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96"/>
      <c r="BA1" s="96"/>
      <c r="BB1" s="96"/>
      <c r="BC1" s="96"/>
      <c r="BD1" s="96"/>
      <c r="BE1" s="96"/>
      <c r="BF1" s="96"/>
      <c r="BG1" s="120"/>
      <c r="BH1" s="101"/>
      <c r="BI1" s="14"/>
      <c r="BL1" s="14"/>
    </row>
    <row r="2" spans="1:68" ht="12.75" customHeight="1" x14ac:dyDescent="0.25">
      <c r="B2" s="19" t="s">
        <v>206</v>
      </c>
    </row>
    <row r="3" spans="1:68" ht="15.75" hidden="1" customHeight="1" x14ac:dyDescent="0.25">
      <c r="B3" s="100"/>
      <c r="C3" s="549">
        <v>1</v>
      </c>
      <c r="D3" s="549"/>
      <c r="E3" s="549"/>
      <c r="F3" s="549"/>
      <c r="G3" s="549"/>
      <c r="H3" s="549"/>
      <c r="I3" s="549"/>
      <c r="J3" s="549">
        <v>2</v>
      </c>
      <c r="K3" s="549"/>
      <c r="L3" s="549"/>
      <c r="M3" s="549"/>
      <c r="N3" s="549"/>
      <c r="O3" s="549"/>
      <c r="P3" s="549"/>
      <c r="Q3" s="549">
        <v>3</v>
      </c>
      <c r="R3" s="549"/>
      <c r="S3" s="549"/>
      <c r="T3" s="549"/>
      <c r="U3" s="549"/>
      <c r="V3" s="549"/>
      <c r="W3" s="549"/>
      <c r="X3" s="549">
        <v>4</v>
      </c>
      <c r="Y3" s="549"/>
      <c r="Z3" s="549"/>
      <c r="AA3" s="549"/>
      <c r="AB3" s="549"/>
      <c r="AC3" s="549"/>
      <c r="AD3" s="549"/>
      <c r="AE3" s="549">
        <v>5</v>
      </c>
      <c r="AF3" s="549"/>
      <c r="AG3" s="549"/>
      <c r="AH3" s="549"/>
      <c r="AI3" s="549"/>
      <c r="AJ3" s="549"/>
      <c r="AK3" s="549"/>
      <c r="AL3" s="549">
        <v>6</v>
      </c>
      <c r="AM3" s="549"/>
      <c r="AN3" s="549"/>
      <c r="AO3" s="549"/>
      <c r="AP3" s="549"/>
      <c r="AQ3" s="549"/>
      <c r="AR3" s="549"/>
      <c r="AS3" s="549">
        <v>7</v>
      </c>
      <c r="AT3" s="549"/>
      <c r="AU3" s="549"/>
      <c r="AV3" s="549"/>
      <c r="AW3" s="549"/>
      <c r="AX3" s="549"/>
      <c r="AY3" s="549"/>
      <c r="AZ3" s="549">
        <v>8</v>
      </c>
      <c r="BA3" s="549"/>
      <c r="BB3" s="549"/>
      <c r="BC3" s="549"/>
      <c r="BD3" s="549"/>
      <c r="BE3" s="549"/>
      <c r="BF3" s="549"/>
    </row>
    <row r="4" spans="1:68" ht="26.25" customHeight="1" thickBot="1" x14ac:dyDescent="0.3">
      <c r="B4" s="550" t="str">
        <f>記入!B5</f>
        <v>高円宮杯 第９回 石川県ユース(Ｕ－1５)サッカーチャレンジリーグ 2016</v>
      </c>
      <c r="C4" s="550"/>
      <c r="D4" s="550"/>
      <c r="E4" s="550"/>
      <c r="F4" s="550"/>
      <c r="G4" s="550"/>
      <c r="H4" s="550"/>
      <c r="I4" s="550"/>
      <c r="J4" s="550"/>
      <c r="K4" s="550"/>
      <c r="L4" s="550"/>
      <c r="M4" s="550"/>
      <c r="N4" s="550"/>
      <c r="O4" s="550"/>
      <c r="P4" s="550"/>
      <c r="Q4" s="550"/>
      <c r="R4" s="550"/>
      <c r="S4" s="550"/>
      <c r="T4" s="550"/>
      <c r="U4" s="550"/>
      <c r="V4" s="550"/>
      <c r="W4" s="550"/>
      <c r="X4" s="550"/>
      <c r="Y4" s="550"/>
      <c r="Z4" s="550"/>
      <c r="AA4" s="550"/>
      <c r="AB4" s="550"/>
      <c r="AC4" s="550"/>
      <c r="AD4" s="550"/>
      <c r="AE4" s="550"/>
      <c r="AF4" s="550"/>
      <c r="AG4" s="550"/>
      <c r="AH4" s="550"/>
      <c r="AI4" s="550"/>
      <c r="AJ4" s="550"/>
      <c r="AK4" s="550"/>
      <c r="AL4" s="550"/>
      <c r="AM4" s="550"/>
      <c r="AN4" s="550"/>
      <c r="AO4" s="550"/>
      <c r="AP4" s="550"/>
      <c r="AQ4" s="550"/>
      <c r="AR4" s="550"/>
      <c r="AS4" s="550"/>
      <c r="AT4" s="550"/>
      <c r="AU4" s="550"/>
      <c r="AV4" s="550"/>
      <c r="AW4" s="550"/>
      <c r="AX4" s="550"/>
      <c r="AY4" s="550"/>
      <c r="AZ4" s="550"/>
      <c r="BA4" s="550"/>
      <c r="BB4" s="550"/>
      <c r="BC4" s="550"/>
      <c r="BD4" s="550"/>
      <c r="BE4" s="550"/>
      <c r="BF4" s="550"/>
      <c r="BG4" s="550"/>
      <c r="BH4" s="568" t="str">
        <f>"≪"&amp;記入!P5&amp;"≫"</f>
        <v>≪トップ≫</v>
      </c>
      <c r="BI4" s="568"/>
      <c r="BJ4" s="568"/>
      <c r="BK4" s="568"/>
    </row>
    <row r="5" spans="1:68" ht="23.25" customHeight="1" thickBot="1" x14ac:dyDescent="0.3">
      <c r="B5" s="20" t="str">
        <f>編成!F2</f>
        <v>トップ</v>
      </c>
      <c r="C5" s="555" t="str">
        <f>編成!E$5</f>
        <v>ﾂｴｰｹﾞﾝ1st</v>
      </c>
      <c r="D5" s="556"/>
      <c r="E5" s="556"/>
      <c r="F5" s="556"/>
      <c r="G5" s="556"/>
      <c r="H5" s="556"/>
      <c r="I5" s="556"/>
      <c r="J5" s="555" t="str">
        <f>編成!H$5</f>
        <v>セブン1st</v>
      </c>
      <c r="K5" s="556"/>
      <c r="L5" s="556"/>
      <c r="M5" s="556"/>
      <c r="N5" s="556"/>
      <c r="O5" s="556"/>
      <c r="P5" s="556"/>
      <c r="Q5" s="555" t="str">
        <f>編成!K$5</f>
        <v>星稜中</v>
      </c>
      <c r="R5" s="556"/>
      <c r="S5" s="556"/>
      <c r="T5" s="556"/>
      <c r="U5" s="556"/>
      <c r="V5" s="556"/>
      <c r="W5" s="556"/>
      <c r="X5" s="555" t="str">
        <f>編成!N$5</f>
        <v>Riopedra</v>
      </c>
      <c r="Y5" s="556"/>
      <c r="Z5" s="556"/>
      <c r="AA5" s="556"/>
      <c r="AB5" s="556"/>
      <c r="AC5" s="556"/>
      <c r="AD5" s="556"/>
      <c r="AE5" s="555" t="str">
        <f>編成!Q5</f>
        <v>FC小松1st</v>
      </c>
      <c r="AF5" s="556"/>
      <c r="AG5" s="556"/>
      <c r="AH5" s="556"/>
      <c r="AI5" s="556"/>
      <c r="AJ5" s="556"/>
      <c r="AK5" s="556"/>
      <c r="AL5" s="555" t="str">
        <f>IF(編成!$N1&lt;6,"6",編成!T5)</f>
        <v>サザン1st</v>
      </c>
      <c r="AM5" s="556"/>
      <c r="AN5" s="556"/>
      <c r="AO5" s="556"/>
      <c r="AP5" s="556"/>
      <c r="AQ5" s="556"/>
      <c r="AR5" s="556"/>
      <c r="AS5" s="555" t="str">
        <f>IF(編成!$N1&lt;7,"7",編成!W5)</f>
        <v>ﾍﾐﾆｽ1st</v>
      </c>
      <c r="AT5" s="556"/>
      <c r="AU5" s="556"/>
      <c r="AV5" s="556"/>
      <c r="AW5" s="556"/>
      <c r="AX5" s="556"/>
      <c r="AY5" s="556"/>
      <c r="AZ5" s="555" t="str">
        <f>IF(編成!$N1&lt;8,"8",編成!Z5)</f>
        <v>ﾃｲﾍﾝｽﾞ1st</v>
      </c>
      <c r="BA5" s="556"/>
      <c r="BB5" s="556"/>
      <c r="BC5" s="556"/>
      <c r="BD5" s="556"/>
      <c r="BE5" s="556"/>
      <c r="BF5" s="556"/>
      <c r="BG5" s="11" t="s">
        <v>207</v>
      </c>
      <c r="BH5" s="10" t="s">
        <v>208</v>
      </c>
      <c r="BI5" s="10" t="s">
        <v>209</v>
      </c>
      <c r="BJ5" s="12" t="s">
        <v>210</v>
      </c>
      <c r="BK5" s="13" t="s">
        <v>211</v>
      </c>
      <c r="BL5" s="596" t="s">
        <v>211</v>
      </c>
      <c r="BM5" s="597"/>
      <c r="BN5" s="1" t="s">
        <v>212</v>
      </c>
      <c r="BO5" s="592" t="s">
        <v>213</v>
      </c>
      <c r="BP5" s="593"/>
    </row>
    <row r="6" spans="1:68" ht="11.25" customHeight="1" thickTop="1" x14ac:dyDescent="0.25">
      <c r="A6" s="528">
        <v>1</v>
      </c>
      <c r="B6" s="554" t="str">
        <f>編成!E4</f>
        <v>ツエーゲン
金沢U-15
1st</v>
      </c>
      <c r="C6" s="82"/>
      <c r="D6" s="83"/>
      <c r="E6" s="83"/>
      <c r="F6" s="83"/>
      <c r="G6" s="83"/>
      <c r="H6" s="83"/>
      <c r="I6" s="84"/>
      <c r="J6" s="553">
        <f>IF(L7="","",INDEX(記入!$A$7:$Q$62,MATCH(VALUE($A6&amp;J$3&amp;1),記入!$A$7:$A$62,0),9))</f>
        <v>1</v>
      </c>
      <c r="K6" s="551"/>
      <c r="L6" s="551"/>
      <c r="M6" s="1" t="str">
        <f>IF(L8="","",IF(J6=N6,"△",IF(J6&gt;N6,"○","●")))</f>
        <v>△</v>
      </c>
      <c r="N6" s="551">
        <f>IF(L7="","",INDEX(記入!$A$7:$Q$62,MATCH(VALUE($A6&amp;J$3&amp;1),記入!$A$7:$A$62,0),15))</f>
        <v>1</v>
      </c>
      <c r="O6" s="551"/>
      <c r="P6" s="552"/>
      <c r="Q6" s="553">
        <f>IF(S7="","",INDEX(記入!$A$7:$Q$62,MATCH(VALUE($A6&amp;Q$3&amp;1),記入!$A$7:$A$62,0),9))</f>
        <v>5</v>
      </c>
      <c r="R6" s="551"/>
      <c r="S6" s="551"/>
      <c r="T6" s="1" t="str">
        <f>IF(S8="","",IF(Q6=U6,"△",IF(Q6&gt;U6,"○","●")))</f>
        <v>○</v>
      </c>
      <c r="U6" s="551">
        <f>IF(S7="","",INDEX(記入!$A$7:$Q$62,MATCH(VALUE($A6&amp;Q$3&amp;1),記入!$A$7:$A$62,0),15))</f>
        <v>0</v>
      </c>
      <c r="V6" s="551"/>
      <c r="W6" s="552"/>
      <c r="X6" s="553">
        <f>IF(Z7="","",INDEX(記入!$A$7:$Q$62,MATCH(VALUE($A6&amp;X$3&amp;1),記入!$A$7:$A$62,0),9))</f>
        <v>7</v>
      </c>
      <c r="Y6" s="551"/>
      <c r="Z6" s="551"/>
      <c r="AA6" s="1" t="str">
        <f>IF(Z8="","",IF(X6=AB6,"△",IF(X6&gt;AB6,"○","●")))</f>
        <v>○</v>
      </c>
      <c r="AB6" s="551">
        <f>IF(Z7="","",INDEX(記入!$A$7:$Q$62,MATCH(VALUE($A6&amp;X$3&amp;1),記入!$A$7:$A$62,0),15))</f>
        <v>0</v>
      </c>
      <c r="AC6" s="551"/>
      <c r="AD6" s="552"/>
      <c r="AE6" s="553">
        <f>IF(AG7="","",INDEX(記入!$A$7:$Q$62,MATCH(VALUE($A6&amp;AE$3&amp;1),記入!$A$7:$A$62,0),9))</f>
        <v>10</v>
      </c>
      <c r="AF6" s="551"/>
      <c r="AG6" s="551"/>
      <c r="AH6" s="1" t="str">
        <f>IF(AG8="","",IF(AE6=AI6,"△",IF(AE6&gt;AI6,"○","●")))</f>
        <v>○</v>
      </c>
      <c r="AI6" s="551">
        <f>IF(AG7="","",INDEX(記入!$A$7:$Q$62,MATCH(VALUE($A6&amp;AE$3&amp;1),記入!$A$7:$A$62,0),15))</f>
        <v>0</v>
      </c>
      <c r="AJ6" s="551"/>
      <c r="AK6" s="552"/>
      <c r="AL6" s="553">
        <f>IF(AN7="","",INDEX(記入!$A$7:$Q$62,MATCH(VALUE($A6&amp;AL$3&amp;1),記入!$A$7:$A$62,0),9))</f>
        <v>0</v>
      </c>
      <c r="AM6" s="551"/>
      <c r="AN6" s="551"/>
      <c r="AO6" s="1" t="str">
        <f>IF(AN8="","",IF(AL6=AP6,"△",IF(AL6&gt;AP6,"○","●")))</f>
        <v>●</v>
      </c>
      <c r="AP6" s="551">
        <f>IF(AN7="","",INDEX(記入!$A$7:$Q$62,MATCH(VALUE($A6&amp;AL$3&amp;1),記入!$A$7:$A$62,0),15))</f>
        <v>2</v>
      </c>
      <c r="AQ6" s="551"/>
      <c r="AR6" s="552"/>
      <c r="AS6" s="553">
        <f>IF(AU7="","",INDEX(記入!$A$7:$Q$62,MATCH(VALUE($A6&amp;AS$3&amp;1),記入!$A$7:$A$62,0),9))</f>
        <v>1</v>
      </c>
      <c r="AT6" s="551"/>
      <c r="AU6" s="551"/>
      <c r="AV6" s="1" t="str">
        <f>IF(AU8="","",IF(AS6=AW6,"△",IF(AS6&gt;AW6,"○","●")))</f>
        <v>○</v>
      </c>
      <c r="AW6" s="551">
        <f>IF(AU7="","",INDEX(記入!$A$7:$Q$62,MATCH(VALUE($A6&amp;AS$3&amp;1),記入!$A$7:$A$62,0),15))</f>
        <v>0</v>
      </c>
      <c r="AX6" s="551"/>
      <c r="AY6" s="552"/>
      <c r="AZ6" s="553">
        <f>IF(BB7="","",INDEX(記入!$A$7:$Q$62,MATCH(VALUE($A6&amp;AZ$3&amp;1),記入!$A$7:$A$62,0),9))</f>
        <v>8</v>
      </c>
      <c r="BA6" s="551"/>
      <c r="BB6" s="551"/>
      <c r="BC6" s="1" t="str">
        <f>IF(BB8="","",IF(AZ6=BD6,"△",IF(AZ6&gt;BD6,"○","●")))</f>
        <v>○</v>
      </c>
      <c r="BD6" s="551">
        <f>IF(BB7="","",INDEX(記入!$A$7:$Q$62,MATCH(VALUE($A6&amp;AZ$3&amp;1),記入!$A$7:$A$62,0),15))</f>
        <v>1</v>
      </c>
      <c r="BE6" s="551"/>
      <c r="BF6" s="552"/>
      <c r="BG6" s="572">
        <f>IF(COUNT(C7:BF7)=0,"",COUNTIF(F$6:F$85,"●")*3+COUNTIF(F$6:F$85,"△"))</f>
        <v>28</v>
      </c>
      <c r="BH6" s="576">
        <f>IF(BG6="","",SUM(G$6:G$85)/2)</f>
        <v>48</v>
      </c>
      <c r="BI6" s="576">
        <f>IF(BG6="","",SUM(C$6:C$85))</f>
        <v>5</v>
      </c>
      <c r="BJ6" s="574">
        <f>IF(BG6="","",BH6-BI6)</f>
        <v>43</v>
      </c>
      <c r="BK6" s="595">
        <f>IF(BG6="","",RANK(BL6,BL$6:BL$85))</f>
        <v>2</v>
      </c>
      <c r="BL6" s="47">
        <f>IF(BG6="",-ROW()*10000,BG6*10000+BJ6*100+BH6+COUNTIF(C6:BF6,"&gt;=0")/20)</f>
        <v>284348.7</v>
      </c>
      <c r="BM6" s="580">
        <f>RANK(BL6,BL$6:BL$85)</f>
        <v>2</v>
      </c>
      <c r="BN6" s="1">
        <v>1</v>
      </c>
      <c r="BO6" s="116">
        <f>IF(BG6="",-ROW()*10000,BG6*10000+BJ6*100+BH6+COUNTIF(C6:BF6,"&gt;=0")/20-ROW()/1000)</f>
        <v>284348.69400000002</v>
      </c>
      <c r="BP6" s="594">
        <f>RANK(BO6,BO$6:BO$85)</f>
        <v>2</v>
      </c>
    </row>
    <row r="7" spans="1:68" ht="10.5" customHeight="1" x14ac:dyDescent="0.25">
      <c r="A7" s="528"/>
      <c r="B7" s="530"/>
      <c r="C7" s="17"/>
      <c r="D7" s="3"/>
      <c r="E7" s="3"/>
      <c r="F7" s="3"/>
      <c r="G7" s="3"/>
      <c r="H7" s="3"/>
      <c r="I7" s="4"/>
      <c r="J7" s="2"/>
      <c r="K7" s="5"/>
      <c r="L7" s="15">
        <f>IF(K9="","",IF(INDEX(記入!$A$7:$Q$62,MATCH(VALUE($A6&amp;J$3&amp;1),記入!$A$7:$A$62,0),11)="","",INDEX(記入!$A$7:$Q$62,MATCH(VALUE($A6&amp;J$3&amp;1),記入!$A$7:$A$62,0),11)))</f>
        <v>0</v>
      </c>
      <c r="M7" s="3" t="s">
        <v>199</v>
      </c>
      <c r="N7" s="16">
        <f>IF(L7="","",INDEX(記入!$A$7:$Q$62,MATCH(VALUE($A6&amp;J$3&amp;1),記入!$A$7:$A$62,0),13))</f>
        <v>1</v>
      </c>
      <c r="O7" s="6"/>
      <c r="P7" s="4"/>
      <c r="Q7" s="2"/>
      <c r="R7" s="5"/>
      <c r="S7" s="15">
        <f>IF(R9="","",IF(INDEX(記入!$A$7:$Q$62,MATCH(VALUE($A6&amp;Q$3&amp;1),記入!$A$7:$A$62,0),11)="","",INDEX(記入!$A$7:$Q$62,MATCH(VALUE($A6&amp;Q$3&amp;1),記入!$A$7:$A$62,0),11)))</f>
        <v>2</v>
      </c>
      <c r="T7" s="3" t="s">
        <v>199</v>
      </c>
      <c r="U7" s="16">
        <f>IF(S7="","",INDEX(記入!$A$7:$Q$62,MATCH(VALUE($A6&amp;Q$3&amp;1),記入!$A$7:$A$62,0),13))</f>
        <v>0</v>
      </c>
      <c r="V7" s="6"/>
      <c r="W7" s="4"/>
      <c r="X7" s="2"/>
      <c r="Y7" s="5"/>
      <c r="Z7" s="15">
        <f>IF(Y9="","",IF(INDEX(記入!$A$7:$Q$62,MATCH(VALUE($A6&amp;X$3&amp;1),記入!$A$7:$A$62,0),11)="","",INDEX(記入!$A$7:$Q$62,MATCH(VALUE($A6&amp;X$3&amp;1),記入!$A$7:$A$62,0),11)))</f>
        <v>5</v>
      </c>
      <c r="AA7" s="3" t="s">
        <v>199</v>
      </c>
      <c r="AB7" s="16">
        <f>IF(Z7="","",INDEX(記入!$A$7:$Q$62,MATCH(VALUE($A6&amp;X$3&amp;1),記入!$A$7:$A$62,0),13))</f>
        <v>0</v>
      </c>
      <c r="AC7" s="6"/>
      <c r="AD7" s="4"/>
      <c r="AE7" s="2"/>
      <c r="AF7" s="5"/>
      <c r="AG7" s="15">
        <f>IF(AF9="","",IF(INDEX(記入!$A$7:$Q$62,MATCH(VALUE($A6&amp;AE$3&amp;1),記入!$A$7:$A$62,0),11)="","",INDEX(記入!$A$7:$Q$62,MATCH(VALUE($A6&amp;AE$3&amp;1),記入!$A$7:$A$62,0),11)))</f>
        <v>5</v>
      </c>
      <c r="AH7" s="3" t="s">
        <v>199</v>
      </c>
      <c r="AI7" s="16">
        <f>IF(AG7="","",INDEX(記入!$A$7:$Q$62,MATCH(VALUE($A6&amp;AE$3&amp;1),記入!$A$7:$A$62,0),13))</f>
        <v>0</v>
      </c>
      <c r="AJ7" s="6"/>
      <c r="AK7" s="4"/>
      <c r="AL7" s="2"/>
      <c r="AM7" s="5"/>
      <c r="AN7" s="15">
        <f>IF(AM9="","",IF(INDEX(記入!$A$7:$Q$62,MATCH(VALUE($A6&amp;AL$3&amp;1),記入!$A$7:$A$62,0),11)="","",INDEX(記入!$A$7:$Q$62,MATCH(VALUE($A6&amp;AL$3&amp;1),記入!$A$7:$A$62,0),11)))</f>
        <v>0</v>
      </c>
      <c r="AO7" s="3" t="s">
        <v>199</v>
      </c>
      <c r="AP7" s="16">
        <f>IF(AN7="","",INDEX(記入!$A$7:$Q$62,MATCH(VALUE($A6&amp;AL$3&amp;1),記入!$A$7:$A$62,0),13))</f>
        <v>1</v>
      </c>
      <c r="AQ7" s="6"/>
      <c r="AR7" s="4"/>
      <c r="AS7" s="2"/>
      <c r="AT7" s="5"/>
      <c r="AU7" s="15">
        <f>IF(AT9="","",IF(INDEX(記入!$A$7:$Q$62,MATCH(VALUE($A6&amp;AS$3&amp;1),記入!$A$7:$A$62,0),11)="","",INDEX(記入!$A$7:$Q$62,MATCH(VALUE($A6&amp;AS$3&amp;1),記入!$A$7:$A$62,0),11)))</f>
        <v>0</v>
      </c>
      <c r="AV7" s="3" t="s">
        <v>199</v>
      </c>
      <c r="AW7" s="16">
        <f>IF(AU7="","",INDEX(記入!$A$7:$Q$62,MATCH(VALUE($A6&amp;AS$3&amp;1),記入!$A$7:$A$62,0),13))</f>
        <v>0</v>
      </c>
      <c r="AX7" s="6"/>
      <c r="AY7" s="4"/>
      <c r="AZ7" s="2"/>
      <c r="BA7" s="5"/>
      <c r="BB7" s="15">
        <f>IF(BA9="","",IF(INDEX(記入!$A$7:$Q$62,MATCH(VALUE($A6&amp;AZ$3&amp;1),記入!$A$7:$A$62,0),11)="","",INDEX(記入!$A$7:$Q$62,MATCH(VALUE($A6&amp;AZ$3&amp;1),記入!$A$7:$A$62,0),11)))</f>
        <v>5</v>
      </c>
      <c r="BC7" s="3" t="s">
        <v>199</v>
      </c>
      <c r="BD7" s="16">
        <f>IF(BB7="","",INDEX(記入!$A$7:$Q$62,MATCH(VALUE($A6&amp;AZ$3&amp;1),記入!$A$7:$A$62,0),13))</f>
        <v>0</v>
      </c>
      <c r="BE7" s="6"/>
      <c r="BF7" s="4"/>
      <c r="BG7" s="573"/>
      <c r="BH7" s="561"/>
      <c r="BI7" s="561"/>
      <c r="BJ7" s="575"/>
      <c r="BK7" s="570"/>
      <c r="BL7" s="47"/>
      <c r="BM7" s="581"/>
      <c r="BO7" s="117"/>
      <c r="BP7" s="578"/>
    </row>
    <row r="8" spans="1:68" ht="10.5" customHeight="1" x14ac:dyDescent="0.25">
      <c r="A8" s="528"/>
      <c r="B8" s="530"/>
      <c r="C8" s="17"/>
      <c r="D8" s="3"/>
      <c r="E8" s="3"/>
      <c r="F8" s="3"/>
      <c r="G8" s="3"/>
      <c r="H8" s="3"/>
      <c r="I8" s="4"/>
      <c r="J8" s="2"/>
      <c r="K8" s="7"/>
      <c r="L8" s="15">
        <f>IF(L7="","",J6-L7)</f>
        <v>1</v>
      </c>
      <c r="M8" s="3" t="s">
        <v>199</v>
      </c>
      <c r="N8" s="16">
        <f>IF(N7="","",N6-N7)</f>
        <v>0</v>
      </c>
      <c r="O8" s="8"/>
      <c r="P8" s="4"/>
      <c r="Q8" s="2"/>
      <c r="R8" s="7"/>
      <c r="S8" s="15">
        <f>IF(S7="","",Q6-S7)</f>
        <v>3</v>
      </c>
      <c r="T8" s="3" t="s">
        <v>199</v>
      </c>
      <c r="U8" s="16">
        <f>IF(U7="","",U6-U7)</f>
        <v>0</v>
      </c>
      <c r="V8" s="8"/>
      <c r="W8" s="4"/>
      <c r="X8" s="2"/>
      <c r="Y8" s="7"/>
      <c r="Z8" s="15">
        <f>IF(Z7="","",X6-Z7)</f>
        <v>2</v>
      </c>
      <c r="AA8" s="3" t="s">
        <v>199</v>
      </c>
      <c r="AB8" s="16">
        <f>IF(AB7="","",AB6-AB7)</f>
        <v>0</v>
      </c>
      <c r="AC8" s="8"/>
      <c r="AD8" s="4"/>
      <c r="AE8" s="2"/>
      <c r="AF8" s="7"/>
      <c r="AG8" s="15">
        <f>IF(AG7="","",AE6-AG7)</f>
        <v>5</v>
      </c>
      <c r="AH8" s="3" t="s">
        <v>199</v>
      </c>
      <c r="AI8" s="16">
        <f>IF(AI7="","",AI6-AI7)</f>
        <v>0</v>
      </c>
      <c r="AJ8" s="8"/>
      <c r="AK8" s="4"/>
      <c r="AL8" s="2"/>
      <c r="AM8" s="7"/>
      <c r="AN8" s="15">
        <f>IF(AN7="","",AL6-AN7)</f>
        <v>0</v>
      </c>
      <c r="AO8" s="3" t="s">
        <v>199</v>
      </c>
      <c r="AP8" s="16">
        <f>IF(AP7="","",AP6-AP7)</f>
        <v>1</v>
      </c>
      <c r="AQ8" s="8"/>
      <c r="AR8" s="4"/>
      <c r="AS8" s="2"/>
      <c r="AT8" s="7"/>
      <c r="AU8" s="15">
        <f>IF(AU7="","",AS6-AU7)</f>
        <v>1</v>
      </c>
      <c r="AV8" s="3" t="s">
        <v>199</v>
      </c>
      <c r="AW8" s="16">
        <f>IF(AW7="","",AW6-AW7)</f>
        <v>0</v>
      </c>
      <c r="AX8" s="8"/>
      <c r="AY8" s="4"/>
      <c r="AZ8" s="2"/>
      <c r="BA8" s="7"/>
      <c r="BB8" s="15">
        <f>IF(BB7="","",AZ6-BB7)</f>
        <v>3</v>
      </c>
      <c r="BC8" s="3" t="s">
        <v>199</v>
      </c>
      <c r="BD8" s="16">
        <f>IF(BD7="","",BD6-BD7)</f>
        <v>1</v>
      </c>
      <c r="BE8" s="8"/>
      <c r="BF8" s="4"/>
      <c r="BG8" s="573"/>
      <c r="BH8" s="561"/>
      <c r="BI8" s="561"/>
      <c r="BJ8" s="575"/>
      <c r="BK8" s="570"/>
      <c r="BL8" s="47"/>
      <c r="BM8" s="581"/>
      <c r="BO8" s="117"/>
      <c r="BP8" s="578"/>
    </row>
    <row r="9" spans="1:68" ht="11.25" customHeight="1" x14ac:dyDescent="0.25">
      <c r="A9" s="528"/>
      <c r="B9" s="530"/>
      <c r="C9" s="17"/>
      <c r="D9" s="3"/>
      <c r="E9" s="3"/>
      <c r="F9" s="3"/>
      <c r="G9" s="3"/>
      <c r="H9" s="3"/>
      <c r="I9" s="4"/>
      <c r="J9" s="80"/>
      <c r="K9" s="532" t="str">
        <f>IF(COUNT(MATCH(VALUE($A6&amp;J$3&amp;1),記入!$A$7:$A$62,0))=0,"",INDEX(記入!$A$7:$Q$62,MATCH(VALUE($A6&amp;J$3&amp;1),記入!$A$7:$A$62,0),3))</f>
        <v>⑦</v>
      </c>
      <c r="L9" s="532"/>
      <c r="M9" s="546">
        <f>IF(K9="","",INDEX(記入!$A$7:$Q$62,MATCH(VALUE($A6&amp;J$3&amp;1),記入!$A$7:$A$62,0),4))</f>
        <v>42553</v>
      </c>
      <c r="N9" s="546"/>
      <c r="O9" s="546"/>
      <c r="P9" s="547"/>
      <c r="Q9" s="80"/>
      <c r="R9" s="532" t="str">
        <f>IF(COUNT(MATCH(VALUE($A6&amp;Q$3&amp;1),記入!$A$7:$A$62,0))=0,"",INDEX(記入!$A$7:$Q$62,MATCH(VALUE($A6&amp;Q$3&amp;1),記入!$A$7:$A$62,0),3))</f>
        <v>⑥</v>
      </c>
      <c r="S9" s="532"/>
      <c r="T9" s="546">
        <f>IF(R9="","",INDEX(記入!$A$7:$Q$62,MATCH(VALUE($A6&amp;Q$3&amp;1),記入!$A$7:$A$62,0),4))</f>
        <v>42526</v>
      </c>
      <c r="U9" s="546"/>
      <c r="V9" s="546"/>
      <c r="W9" s="547"/>
      <c r="X9" s="80"/>
      <c r="Y9" s="532" t="str">
        <f>IF(COUNT(MATCH(VALUE($A6&amp;X$3&amp;1),記入!$A$7:$A$62,0))=0,"",INDEX(記入!$A$7:$Q$62,MATCH(VALUE($A6&amp;X$3&amp;1),記入!$A$7:$A$62,0),3))</f>
        <v>③</v>
      </c>
      <c r="Z9" s="532"/>
      <c r="AA9" s="546">
        <f>IF(Y9="","",INDEX(記入!$A$7:$Q$62,MATCH(VALUE($A6&amp;X$3&amp;1),記入!$A$7:$A$62,0),4))</f>
        <v>42497</v>
      </c>
      <c r="AB9" s="546"/>
      <c r="AC9" s="546"/>
      <c r="AD9" s="547"/>
      <c r="AE9" s="80"/>
      <c r="AF9" s="532" t="str">
        <f>IF(COUNT(MATCH(VALUE($A6&amp;AE$3&amp;1),記入!$A$7:$A$62,0))=0,"",INDEX(記入!$A$7:$Q$62,MATCH(VALUE($A6&amp;AE$3&amp;1),記入!$A$7:$A$62,0),3))</f>
        <v>②</v>
      </c>
      <c r="AG9" s="532"/>
      <c r="AH9" s="546">
        <f>IF(AF9="","",INDEX(記入!$A$7:$Q$62,MATCH(VALUE($A6&amp;AE$3&amp;1),記入!$A$7:$A$62,0),4))</f>
        <v>42493</v>
      </c>
      <c r="AI9" s="546"/>
      <c r="AJ9" s="546"/>
      <c r="AK9" s="547"/>
      <c r="AL9" s="80"/>
      <c r="AM9" s="532" t="str">
        <f>IF(COUNT(MATCH(VALUE($A6&amp;AL$3&amp;1),記入!$A$7:$A$62,0))=0,"",INDEX(記入!$A$7:$Q$62,MATCH(VALUE($A6&amp;AL$3&amp;1),記入!$A$7:$A$62,0),3))</f>
        <v>④</v>
      </c>
      <c r="AN9" s="532"/>
      <c r="AO9" s="546">
        <f>IF(AM9="","",INDEX(記入!$A$7:$Q$62,MATCH(VALUE($A6&amp;AL$3&amp;1),記入!$A$7:$A$62,0),4))</f>
        <v>42504</v>
      </c>
      <c r="AP9" s="546"/>
      <c r="AQ9" s="546"/>
      <c r="AR9" s="547"/>
      <c r="AS9" s="80"/>
      <c r="AT9" s="532" t="str">
        <f>IF(COUNT(MATCH(VALUE($A6&amp;AS$3&amp;1),記入!$A$7:$A$62,0))=0,"",INDEX(記入!$A$7:$Q$62,MATCH(VALUE($A6&amp;AS$3&amp;1),記入!$A$7:$A$62,0),3))</f>
        <v>⑥</v>
      </c>
      <c r="AU9" s="532"/>
      <c r="AV9" s="546">
        <f>IF(AT9="","",INDEX(記入!$A$7:$Q$62,MATCH(VALUE($A6&amp;AS$3&amp;1),記入!$A$7:$A$62,0),4))</f>
        <v>42518</v>
      </c>
      <c r="AW9" s="546"/>
      <c r="AX9" s="546"/>
      <c r="AY9" s="547"/>
      <c r="AZ9" s="80"/>
      <c r="BA9" s="532" t="str">
        <f>IF(COUNT(MATCH(VALUE($A6&amp;AZ$3&amp;1),記入!$A$7:$A$62,0))=0,"",INDEX(記入!$A$7:$Q$62,MATCH(VALUE($A6&amp;AZ$3&amp;1),記入!$A$7:$A$62,0),3))</f>
        <v>①</v>
      </c>
      <c r="BB9" s="532"/>
      <c r="BC9" s="546">
        <f>IF(BA9="","",INDEX(記入!$A$7:$Q$62,MATCH(VALUE($A6&amp;AZ$3&amp;1),記入!$A$7:$A$62,0),4))</f>
        <v>42489</v>
      </c>
      <c r="BD9" s="546"/>
      <c r="BE9" s="546"/>
      <c r="BF9" s="547"/>
      <c r="BG9" s="573"/>
      <c r="BH9" s="561"/>
      <c r="BI9" s="561"/>
      <c r="BJ9" s="575"/>
      <c r="BK9" s="570"/>
      <c r="BL9" s="47"/>
      <c r="BM9" s="581"/>
      <c r="BO9" s="117"/>
      <c r="BP9" s="578"/>
    </row>
    <row r="10" spans="1:68" ht="11.25" customHeight="1" x14ac:dyDescent="0.25">
      <c r="A10" s="528"/>
      <c r="B10" s="530"/>
      <c r="C10" s="17"/>
      <c r="D10" s="3"/>
      <c r="E10" s="3"/>
      <c r="F10" s="3"/>
      <c r="G10" s="3"/>
      <c r="H10" s="3"/>
      <c r="I10" s="4"/>
      <c r="J10" s="548" t="str">
        <f>IF(K9="","",INDEX(記入!$A$7:$Q$62,MATCH(VALUE($A6&amp;J$3&amp;1),記入!$A$7:$A$62,0),6))</f>
        <v>金沢市民</v>
      </c>
      <c r="K10" s="532"/>
      <c r="L10" s="532"/>
      <c r="M10" s="532"/>
      <c r="N10" s="532"/>
      <c r="O10" s="532"/>
      <c r="P10" s="539"/>
      <c r="Q10" s="548" t="str">
        <f>IF(R9="","",INDEX(記入!$A$7:$Q$62,MATCH(VALUE($A6&amp;Q$3&amp;1),記入!$A$7:$A$62,0),6))</f>
        <v>星稜ｻｯｶｰ場</v>
      </c>
      <c r="R10" s="532"/>
      <c r="S10" s="532"/>
      <c r="T10" s="532"/>
      <c r="U10" s="532"/>
      <c r="V10" s="532"/>
      <c r="W10" s="539"/>
      <c r="X10" s="548" t="str">
        <f>IF(Y9="","",INDEX(記入!$A$7:$Q$62,MATCH(VALUE($A6&amp;X$3&amp;1),記入!$A$7:$A$62,0),6))</f>
        <v>金沢交流</v>
      </c>
      <c r="Y10" s="532"/>
      <c r="Z10" s="532"/>
      <c r="AA10" s="532"/>
      <c r="AB10" s="532"/>
      <c r="AC10" s="532"/>
      <c r="AD10" s="539"/>
      <c r="AE10" s="548" t="str">
        <f>IF(AF9="","",INDEX(記入!$A$7:$Q$62,MATCH(VALUE($A6&amp;AE$3&amp;1),記入!$A$7:$A$62,0),6))</f>
        <v>金沢交流</v>
      </c>
      <c r="AF10" s="532"/>
      <c r="AG10" s="532"/>
      <c r="AH10" s="532"/>
      <c r="AI10" s="532"/>
      <c r="AJ10" s="532"/>
      <c r="AK10" s="539"/>
      <c r="AL10" s="548" t="str">
        <f>IF(AM9="","",INDEX(記入!$A$7:$Q$62,MATCH(VALUE($A6&amp;AL$3&amp;1),記入!$A$7:$A$62,0),6))</f>
        <v>金沢交流</v>
      </c>
      <c r="AM10" s="532"/>
      <c r="AN10" s="532"/>
      <c r="AO10" s="532"/>
      <c r="AP10" s="532"/>
      <c r="AQ10" s="532"/>
      <c r="AR10" s="539"/>
      <c r="AS10" s="548" t="str">
        <f>IF(AT9="","",INDEX(記入!$A$7:$Q$62,MATCH(VALUE($A6&amp;AS$3&amp;1),記入!$A$7:$A$62,0),6))</f>
        <v>金沢市民</v>
      </c>
      <c r="AT10" s="532"/>
      <c r="AU10" s="532"/>
      <c r="AV10" s="532"/>
      <c r="AW10" s="532"/>
      <c r="AX10" s="532"/>
      <c r="AY10" s="539"/>
      <c r="AZ10" s="548" t="str">
        <f>IF(BA9="","",INDEX(記入!$A$7:$Q$62,MATCH(VALUE($A6&amp;AZ$3&amp;1),記入!$A$7:$A$62,0),6))</f>
        <v>能登島Ｂ</v>
      </c>
      <c r="BA10" s="532"/>
      <c r="BB10" s="532"/>
      <c r="BC10" s="532"/>
      <c r="BD10" s="532"/>
      <c r="BE10" s="532"/>
      <c r="BF10" s="539"/>
      <c r="BG10" s="573"/>
      <c r="BH10" s="561"/>
      <c r="BI10" s="561"/>
      <c r="BJ10" s="575"/>
      <c r="BK10" s="570"/>
      <c r="BL10" s="47"/>
      <c r="BM10" s="581"/>
      <c r="BO10" s="117"/>
      <c r="BP10" s="578"/>
    </row>
    <row r="11" spans="1:68" ht="11.25" customHeight="1" x14ac:dyDescent="0.25">
      <c r="A11" s="528"/>
      <c r="B11" s="530"/>
      <c r="C11" s="17"/>
      <c r="D11" s="3"/>
      <c r="E11" s="3"/>
      <c r="F11" s="3"/>
      <c r="G11" s="3"/>
      <c r="H11" s="3"/>
      <c r="I11" s="4"/>
      <c r="J11" s="544">
        <f>IF(L12="","",INDEX(記入!$A$7:$Q$62,MATCH(VALUE($A6&amp;J$3&amp;2),記入!$A$7:$A$62,0),9))</f>
        <v>3</v>
      </c>
      <c r="K11" s="537"/>
      <c r="L11" s="537"/>
      <c r="M11" s="9" t="str">
        <f>IF(L13="","",IF(J11=N11,"△",IF(J11&gt;N11,"○","●")))</f>
        <v>○</v>
      </c>
      <c r="N11" s="537">
        <f>IF(L12="","",INDEX(記入!$A$7:$Q$62,MATCH(VALUE($A6&amp;J$3&amp;2),記入!$A$7:$A$62,0),15))</f>
        <v>0</v>
      </c>
      <c r="O11" s="537"/>
      <c r="P11" s="542"/>
      <c r="Q11" s="544" t="str">
        <f>IF(S12="","",INDEX(記入!$A$7:$Q$62,MATCH(VALUE($A6&amp;Q$3&amp;2),記入!$A$7:$A$62,0),9))</f>
        <v/>
      </c>
      <c r="R11" s="537"/>
      <c r="S11" s="537"/>
      <c r="T11" s="9" t="str">
        <f>IF(S13="","",IF(Q11=U11,"△",IF(Q11&gt;U11,"○","●")))</f>
        <v/>
      </c>
      <c r="U11" s="537" t="str">
        <f>IF(S12="","",INDEX(記入!$A$7:$Q$62,MATCH(VALUE($A6&amp;Q$3&amp;2),記入!$A$7:$A$62,0),15))</f>
        <v/>
      </c>
      <c r="V11" s="537"/>
      <c r="W11" s="542"/>
      <c r="X11" s="544">
        <f>IF(Z12="","",INDEX(記入!$A$7:$Q$62,MATCH(VALUE($A6&amp;X$3&amp;2),記入!$A$7:$A$62,0),9))</f>
        <v>7</v>
      </c>
      <c r="Y11" s="537"/>
      <c r="Z11" s="537"/>
      <c r="AA11" s="9" t="str">
        <f>IF(Z13="","",IF(X11=AB11,"△",IF(X11&gt;AB11,"○","●")))</f>
        <v>○</v>
      </c>
      <c r="AB11" s="537">
        <f>IF(Z12="","",INDEX(記入!$A$7:$Q$62,MATCH(VALUE($A6&amp;X$3&amp;2),記入!$A$7:$A$62,0),15))</f>
        <v>0</v>
      </c>
      <c r="AC11" s="537"/>
      <c r="AD11" s="542"/>
      <c r="AE11" s="544">
        <f>IF(AG12="","",INDEX(記入!$A$7:$Q$62,MATCH(VALUE($A6&amp;AE$3&amp;2),記入!$A$7:$A$62,0),9))</f>
        <v>3</v>
      </c>
      <c r="AF11" s="537"/>
      <c r="AG11" s="537"/>
      <c r="AH11" s="9" t="str">
        <f>IF(AG13="","",IF(AE11=AI11,"△",IF(AE11&gt;AI11,"○","●")))</f>
        <v>○</v>
      </c>
      <c r="AI11" s="537">
        <f>IF(AG12="","",INDEX(記入!$A$7:$Q$62,MATCH(VALUE($A6&amp;AE$3&amp;2),記入!$A$7:$A$62,0),15))</f>
        <v>0</v>
      </c>
      <c r="AJ11" s="537"/>
      <c r="AK11" s="542"/>
      <c r="AL11" s="544" t="str">
        <f>IF(AN12="","",INDEX(記入!$A$7:$Q$62,MATCH(VALUE($A6&amp;AL$3&amp;2),記入!$A$7:$A$62,0),9))</f>
        <v/>
      </c>
      <c r="AM11" s="537"/>
      <c r="AN11" s="537"/>
      <c r="AO11" s="9" t="str">
        <f>IF(AN13="","",IF(AL11=AP11,"△",IF(AL11&gt;AP11,"○","●")))</f>
        <v/>
      </c>
      <c r="AP11" s="537" t="str">
        <f>IF(AN12="","",INDEX(記入!$A$7:$Q$62,MATCH(VALUE($A6&amp;AL$3&amp;2),記入!$A$7:$A$62,0),15))</f>
        <v/>
      </c>
      <c r="AQ11" s="537"/>
      <c r="AR11" s="542"/>
      <c r="AS11" s="544">
        <f>IF(AU12="","",INDEX(記入!$A$7:$Q$62,MATCH(VALUE($A6&amp;AS$3&amp;2),記入!$A$7:$A$62,0),9))</f>
        <v>3</v>
      </c>
      <c r="AT11" s="537"/>
      <c r="AU11" s="537"/>
      <c r="AV11" s="9" t="str">
        <f>IF(AU13="","",IF(AS11=AW11,"△",IF(AS11&gt;AW11,"○","●")))</f>
        <v>○</v>
      </c>
      <c r="AW11" s="537">
        <f>IF(AU12="","",INDEX(記入!$A$7:$Q$62,MATCH(VALUE($A6&amp;AS$3&amp;2),記入!$A$7:$A$62,0),15))</f>
        <v>1</v>
      </c>
      <c r="AX11" s="537"/>
      <c r="AY11" s="542"/>
      <c r="AZ11" s="544" t="str">
        <f>IF(BB12="","",INDEX(記入!$A$7:$Q$62,MATCH(VALUE($A6&amp;AZ$3&amp;2),記入!$A$7:$A$62,0),9))</f>
        <v/>
      </c>
      <c r="BA11" s="537"/>
      <c r="BB11" s="537"/>
      <c r="BC11" s="9" t="str">
        <f>IF(BB13="","",IF(AZ11=BD11,"△",IF(AZ11&gt;BD11,"○","●")))</f>
        <v/>
      </c>
      <c r="BD11" s="537" t="str">
        <f>IF(BB12="","",INDEX(記入!$A$7:$Q$62,MATCH(VALUE($A6&amp;AZ$3&amp;2),記入!$A$7:$A$62,0),15))</f>
        <v/>
      </c>
      <c r="BE11" s="537"/>
      <c r="BF11" s="542"/>
      <c r="BG11" s="573"/>
      <c r="BH11" s="561"/>
      <c r="BI11" s="561"/>
      <c r="BJ11" s="575"/>
      <c r="BK11" s="570"/>
      <c r="BL11" s="47"/>
      <c r="BM11" s="581"/>
      <c r="BO11" s="117"/>
      <c r="BP11" s="578"/>
    </row>
    <row r="12" spans="1:68" ht="11.25" customHeight="1" x14ac:dyDescent="0.25">
      <c r="A12" s="528"/>
      <c r="B12" s="530"/>
      <c r="C12" s="3"/>
      <c r="D12" s="3"/>
      <c r="E12" s="3"/>
      <c r="F12" s="3"/>
      <c r="G12" s="3"/>
      <c r="H12" s="3"/>
      <c r="I12" s="4"/>
      <c r="J12" s="2"/>
      <c r="K12" s="5"/>
      <c r="L12" s="15">
        <f>IF(K14="","",IF(INDEX(記入!$A$7:$Q$62,MATCH(VALUE($A6&amp;J$3&amp;2),記入!$A$7:$A$62,0),11)="","",INDEX(記入!$A$7:$Q$62,MATCH(VALUE($A6&amp;J$3&amp;2),記入!$A$7:$A$62,0),11)))</f>
        <v>1</v>
      </c>
      <c r="M12" s="3" t="s">
        <v>199</v>
      </c>
      <c r="N12" s="16">
        <f>IF(L12="","",INDEX(記入!$A$7:$Q$62,MATCH(VALUE($A6&amp;J$3&amp;2),記入!$A$7:$A$62,0),13))</f>
        <v>0</v>
      </c>
      <c r="O12" s="6"/>
      <c r="P12" s="4"/>
      <c r="Q12" s="2"/>
      <c r="R12" s="5"/>
      <c r="S12" s="15" t="str">
        <f>IF(R14="","",IF(INDEX(記入!$A$7:$Q$62,MATCH(VALUE($A6&amp;Q$3&amp;2),記入!$A$7:$A$62,0),11)="","",INDEX(記入!$A$7:$Q$62,MATCH(VALUE($A6&amp;Q$3&amp;2),記入!$A$7:$A$62,0),11)))</f>
        <v/>
      </c>
      <c r="T12" s="3" t="s">
        <v>199</v>
      </c>
      <c r="U12" s="16" t="str">
        <f>IF(S12="","",INDEX(記入!$A$7:$Q$62,MATCH(VALUE($A6&amp;Q$3&amp;2),記入!$A$7:$A$62,0),13))</f>
        <v/>
      </c>
      <c r="V12" s="6"/>
      <c r="W12" s="4"/>
      <c r="X12" s="2"/>
      <c r="Y12" s="5"/>
      <c r="Z12" s="15">
        <f>IF(Y14="","",IF(INDEX(記入!$A$7:$Q$62,MATCH(VALUE($A6&amp;X$3&amp;2),記入!$A$7:$A$62,0),11)="","",INDEX(記入!$A$7:$Q$62,MATCH(VALUE($A6&amp;X$3&amp;2),記入!$A$7:$A$62,0),11)))</f>
        <v>1</v>
      </c>
      <c r="AA12" s="3" t="s">
        <v>199</v>
      </c>
      <c r="AB12" s="16">
        <f>IF(Z12="","",INDEX(記入!$A$7:$Q$62,MATCH(VALUE($A6&amp;X$3&amp;2),記入!$A$7:$A$62,0),13))</f>
        <v>0</v>
      </c>
      <c r="AC12" s="6"/>
      <c r="AD12" s="4"/>
      <c r="AE12" s="2"/>
      <c r="AF12" s="5"/>
      <c r="AG12" s="15">
        <f>IF(AF14="","",IF(INDEX(記入!$A$7:$Q$62,MATCH(VALUE($A6&amp;AE$3&amp;2),記入!$A$7:$A$62,0),11)="","",INDEX(記入!$A$7:$Q$62,MATCH(VALUE($A6&amp;AE$3&amp;2),記入!$A$7:$A$62,0),11)))</f>
        <v>2</v>
      </c>
      <c r="AH12" s="3" t="s">
        <v>199</v>
      </c>
      <c r="AI12" s="16">
        <f>IF(AG12="","",INDEX(記入!$A$7:$Q$62,MATCH(VALUE($A6&amp;AE$3&amp;2),記入!$A$7:$A$62,0),13))</f>
        <v>1</v>
      </c>
      <c r="AJ12" s="6"/>
      <c r="AK12" s="4"/>
      <c r="AL12" s="2"/>
      <c r="AM12" s="5"/>
      <c r="AN12" s="15" t="str">
        <f>IF(AM14="","",IF(INDEX(記入!$A$7:$Q$62,MATCH(VALUE($A6&amp;AL$3&amp;2),記入!$A$7:$A$62,0),11)="","",INDEX(記入!$A$7:$Q$62,MATCH(VALUE($A6&amp;AL$3&amp;2),記入!$A$7:$A$62,0),11)))</f>
        <v/>
      </c>
      <c r="AO12" s="3" t="s">
        <v>199</v>
      </c>
      <c r="AP12" s="16" t="str">
        <f>IF(AN12="","",INDEX(記入!$A$7:$Q$62,MATCH(VALUE($A6&amp;AL$3&amp;2),記入!$A$7:$A$62,0),13))</f>
        <v/>
      </c>
      <c r="AQ12" s="6"/>
      <c r="AR12" s="4"/>
      <c r="AS12" s="2"/>
      <c r="AT12" s="5"/>
      <c r="AU12" s="15">
        <f>IF(AT14="","",IF(INDEX(記入!$A$7:$Q$62,MATCH(VALUE($A6&amp;AS$3&amp;2),記入!$A$7:$A$62,0),11)="","",INDEX(記入!$A$7:$Q$62,MATCH(VALUE($A6&amp;AS$3&amp;2),記入!$A$7:$A$62,0),11)))</f>
        <v>0</v>
      </c>
      <c r="AV12" s="3" t="s">
        <v>199</v>
      </c>
      <c r="AW12" s="16">
        <f>IF(AU12="","",INDEX(記入!$A$7:$Q$62,MATCH(VALUE($A6&amp;AS$3&amp;2),記入!$A$7:$A$62,0),13))</f>
        <v>1</v>
      </c>
      <c r="AX12" s="6"/>
      <c r="AY12" s="4"/>
      <c r="AZ12" s="2"/>
      <c r="BA12" s="5"/>
      <c r="BB12" s="15" t="str">
        <f>IF(BA14="","",IF(INDEX(記入!$A$7:$Q$62,MATCH(VALUE($A6&amp;AZ$3&amp;2),記入!$A$7:$A$62,0),11)="","",INDEX(記入!$A$7:$Q$62,MATCH(VALUE($A6&amp;AZ$3&amp;2),記入!$A$7:$A$62,0),11)))</f>
        <v/>
      </c>
      <c r="BC12" s="3" t="s">
        <v>199</v>
      </c>
      <c r="BD12" s="16" t="str">
        <f>IF(BB12="","",INDEX(記入!$A$7:$Q$62,MATCH(VALUE($A6&amp;AZ$3&amp;2),記入!$A$7:$A$62,0),13))</f>
        <v/>
      </c>
      <c r="BE12" s="6"/>
      <c r="BF12" s="4"/>
      <c r="BG12" s="573"/>
      <c r="BH12" s="561"/>
      <c r="BI12" s="561"/>
      <c r="BJ12" s="575"/>
      <c r="BK12" s="570"/>
      <c r="BL12" s="47"/>
      <c r="BM12" s="581"/>
      <c r="BO12" s="117"/>
      <c r="BP12" s="578"/>
    </row>
    <row r="13" spans="1:68" ht="11.25" customHeight="1" x14ac:dyDescent="0.25">
      <c r="A13" s="528"/>
      <c r="B13" s="530"/>
      <c r="C13" s="3"/>
      <c r="D13" s="3"/>
      <c r="E13" s="3"/>
      <c r="F13" s="3"/>
      <c r="G13" s="3"/>
      <c r="H13" s="3"/>
      <c r="I13" s="4"/>
      <c r="J13" s="2"/>
      <c r="K13" s="7"/>
      <c r="L13" s="15">
        <f>IF(L12="","",J11-L12)</f>
        <v>2</v>
      </c>
      <c r="M13" s="3" t="s">
        <v>199</v>
      </c>
      <c r="N13" s="16">
        <f>IF(N12="","",N11-N12)</f>
        <v>0</v>
      </c>
      <c r="O13" s="8"/>
      <c r="P13" s="4"/>
      <c r="Q13" s="2"/>
      <c r="R13" s="7"/>
      <c r="S13" s="15" t="str">
        <f>IF(S12="","",Q11-S12)</f>
        <v/>
      </c>
      <c r="T13" s="3" t="s">
        <v>199</v>
      </c>
      <c r="U13" s="16" t="str">
        <f>IF(U12="","",U11-U12)</f>
        <v/>
      </c>
      <c r="V13" s="8"/>
      <c r="W13" s="4"/>
      <c r="X13" s="2"/>
      <c r="Y13" s="7"/>
      <c r="Z13" s="15">
        <f>IF(Z12="","",X11-Z12)</f>
        <v>6</v>
      </c>
      <c r="AA13" s="3" t="s">
        <v>199</v>
      </c>
      <c r="AB13" s="16">
        <f>IF(AB12="","",AB11-AB12)</f>
        <v>0</v>
      </c>
      <c r="AC13" s="8"/>
      <c r="AD13" s="4"/>
      <c r="AE13" s="2"/>
      <c r="AF13" s="7"/>
      <c r="AG13" s="15">
        <f>IF(AG12="","",AE11-AG12)</f>
        <v>1</v>
      </c>
      <c r="AH13" s="3" t="s">
        <v>199</v>
      </c>
      <c r="AI13" s="16">
        <f>IF(AI12="","",AI11-AI12)</f>
        <v>-1</v>
      </c>
      <c r="AJ13" s="8"/>
      <c r="AK13" s="4"/>
      <c r="AL13" s="2"/>
      <c r="AM13" s="7"/>
      <c r="AN13" s="15" t="str">
        <f>IF(AN12="","",AL11-AN12)</f>
        <v/>
      </c>
      <c r="AO13" s="3" t="s">
        <v>199</v>
      </c>
      <c r="AP13" s="16" t="str">
        <f>IF(AP12="","",AP11-AP12)</f>
        <v/>
      </c>
      <c r="AQ13" s="8"/>
      <c r="AR13" s="4"/>
      <c r="AS13" s="2"/>
      <c r="AT13" s="7"/>
      <c r="AU13" s="15">
        <f>IF(AU12="","",AS11-AU12)</f>
        <v>3</v>
      </c>
      <c r="AV13" s="3" t="s">
        <v>199</v>
      </c>
      <c r="AW13" s="16">
        <f>IF(AW12="","",AW11-AW12)</f>
        <v>0</v>
      </c>
      <c r="AX13" s="8"/>
      <c r="AY13" s="4"/>
      <c r="AZ13" s="2"/>
      <c r="BA13" s="7"/>
      <c r="BB13" s="15" t="str">
        <f>IF(BB12="","",AZ11-BB12)</f>
        <v/>
      </c>
      <c r="BC13" s="3" t="s">
        <v>199</v>
      </c>
      <c r="BD13" s="16" t="str">
        <f>IF(BD12="","",BD11-BD12)</f>
        <v/>
      </c>
      <c r="BE13" s="8"/>
      <c r="BF13" s="4"/>
      <c r="BG13" s="573"/>
      <c r="BH13" s="561"/>
      <c r="BI13" s="561"/>
      <c r="BJ13" s="575"/>
      <c r="BK13" s="570"/>
      <c r="BL13" s="47"/>
      <c r="BM13" s="581"/>
      <c r="BO13" s="117"/>
      <c r="BP13" s="578"/>
    </row>
    <row r="14" spans="1:68" ht="11.25" customHeight="1" x14ac:dyDescent="0.25">
      <c r="A14" s="528"/>
      <c r="B14" s="530"/>
      <c r="C14" s="3"/>
      <c r="D14" s="3"/>
      <c r="E14" s="3"/>
      <c r="F14" s="3"/>
      <c r="G14" s="3"/>
      <c r="H14" s="3"/>
      <c r="I14" s="4"/>
      <c r="J14" s="80"/>
      <c r="K14" s="532" t="str">
        <f>IF(COUNT(MATCH(VALUE($A6&amp;J$3&amp;2),記入!$A$7:$A$62,0))=0,"",INDEX(記入!$A$7:$Q$62,MATCH(VALUE($A6&amp;J$3&amp;2),記入!$A$7:$A$62,0),3))</f>
        <v>②</v>
      </c>
      <c r="L14" s="532"/>
      <c r="M14" s="546">
        <f>IF(K14="","",INDEX(記入!$A$7:$Q$62,MATCH(VALUE($A6&amp;J$3&amp;2),記入!$A$7:$A$62,0),4))</f>
        <v>42624</v>
      </c>
      <c r="N14" s="546"/>
      <c r="O14" s="546"/>
      <c r="P14" s="547"/>
      <c r="Q14" s="80"/>
      <c r="R14" s="532" t="str">
        <f>IF(COUNT(MATCH(VALUE($A6&amp;Q$3&amp;2),記入!$A$7:$A$62,0))=0,"",INDEX(記入!$A$7:$Q$62,MATCH(VALUE($A6&amp;Q$3&amp;2),記入!$A$7:$A$62,0),3))</f>
        <v>②</v>
      </c>
      <c r="S14" s="532"/>
      <c r="T14" s="546">
        <f>IF(R14="","",INDEX(記入!$A$7:$Q$62,MATCH(VALUE($A6&amp;Q$3&amp;2),記入!$A$7:$A$62,0),4))</f>
        <v>42673</v>
      </c>
      <c r="U14" s="546"/>
      <c r="V14" s="546"/>
      <c r="W14" s="547"/>
      <c r="X14" s="80"/>
      <c r="Y14" s="532" t="str">
        <f>IF(COUNT(MATCH(VALUE($A6&amp;X$3&amp;2),記入!$A$7:$A$62,0))=0,"",INDEX(記入!$A$7:$Q$62,MATCH(VALUE($A6&amp;X$3&amp;2),記入!$A$7:$A$62,0),3))</f>
        <v>②</v>
      </c>
      <c r="Z14" s="532"/>
      <c r="AA14" s="546">
        <f>IF(Y14="","",INDEX(記入!$A$7:$Q$62,MATCH(VALUE($A6&amp;X$3&amp;2),記入!$A$7:$A$62,0),4))</f>
        <v>42644</v>
      </c>
      <c r="AB14" s="546"/>
      <c r="AC14" s="546"/>
      <c r="AD14" s="547"/>
      <c r="AE14" s="80"/>
      <c r="AF14" s="532" t="str">
        <f>IF(COUNT(MATCH(VALUE($A6&amp;AE$3&amp;2),記入!$A$7:$A$62,0))=0,"",INDEX(記入!$A$7:$Q$62,MATCH(VALUE($A6&amp;AE$3&amp;2),記入!$A$7:$A$62,0),3))</f>
        <v>⑨</v>
      </c>
      <c r="AG14" s="532"/>
      <c r="AH14" s="546">
        <f>IF(AF14="","",INDEX(記入!$A$7:$Q$62,MATCH(VALUE($A6&amp;AE$3&amp;2),記入!$A$7:$A$62,0),4))</f>
        <v>42581</v>
      </c>
      <c r="AI14" s="546"/>
      <c r="AJ14" s="546"/>
      <c r="AK14" s="547"/>
      <c r="AL14" s="80"/>
      <c r="AM14" s="532" t="str">
        <f>IF(COUNT(MATCH(VALUE($A6&amp;AL$3&amp;2),記入!$A$7:$A$62,0))=0,"",INDEX(記入!$A$7:$Q$62,MATCH(VALUE($A6&amp;AL$3&amp;2),記入!$A$7:$A$62,0),3))</f>
        <v>②</v>
      </c>
      <c r="AN14" s="532"/>
      <c r="AO14" s="546">
        <f>IF(AM14="","",INDEX(記入!$A$7:$Q$62,MATCH(VALUE($A6&amp;AL$3&amp;2),記入!$A$7:$A$62,0),4))</f>
        <v>42677</v>
      </c>
      <c r="AP14" s="546"/>
      <c r="AQ14" s="546"/>
      <c r="AR14" s="547"/>
      <c r="AS14" s="80"/>
      <c r="AT14" s="532" t="str">
        <f>IF(COUNT(MATCH(VALUE($A6&amp;AS$3&amp;2),記入!$A$7:$A$62,0))=0,"",INDEX(記入!$A$7:$Q$62,MATCH(VALUE($A6&amp;AS$3&amp;2),記入!$A$7:$A$62,0),3))</f>
        <v>⑧</v>
      </c>
      <c r="AU14" s="532"/>
      <c r="AV14" s="546">
        <f>IF(AT14="","",INDEX(記入!$A$7:$Q$62,MATCH(VALUE($A6&amp;AS$3&amp;2),記入!$A$7:$A$62,0),4))</f>
        <v>42574</v>
      </c>
      <c r="AW14" s="546"/>
      <c r="AX14" s="546"/>
      <c r="AY14" s="547"/>
      <c r="AZ14" s="80"/>
      <c r="BA14" s="532" t="str">
        <f>IF(COUNT(MATCH(VALUE($A6&amp;AZ$3&amp;2),記入!$A$7:$A$62,0))=0,"",INDEX(記入!$A$7:$Q$62,MATCH(VALUE($A6&amp;AZ$3&amp;2),記入!$A$7:$A$62,0),3))</f>
        <v>②</v>
      </c>
      <c r="BB14" s="532"/>
      <c r="BC14" s="546">
        <f>IF(BA14="","",INDEX(記入!$A$7:$Q$62,MATCH(VALUE($A6&amp;AZ$3&amp;2),記入!$A$7:$A$62,0),4))</f>
        <v>42658</v>
      </c>
      <c r="BD14" s="546"/>
      <c r="BE14" s="546"/>
      <c r="BF14" s="547"/>
      <c r="BG14" s="573"/>
      <c r="BH14" s="561"/>
      <c r="BI14" s="561"/>
      <c r="BJ14" s="575"/>
      <c r="BK14" s="570"/>
      <c r="BL14" s="47"/>
      <c r="BM14" s="581"/>
      <c r="BO14" s="117"/>
      <c r="BP14" s="578"/>
    </row>
    <row r="15" spans="1:68" ht="11.25" customHeight="1" x14ac:dyDescent="0.25">
      <c r="A15" s="528"/>
      <c r="B15" s="530"/>
      <c r="C15" s="3"/>
      <c r="D15" s="3"/>
      <c r="E15" s="3"/>
      <c r="F15" s="3"/>
      <c r="G15" s="3"/>
      <c r="H15" s="3"/>
      <c r="I15" s="4"/>
      <c r="J15" s="543" t="str">
        <f>IF(K14="","",INDEX(記入!$A$7:$Q$62,MATCH(VALUE($A6&amp;J$3&amp;2),記入!$A$7:$A$62,0),6))</f>
        <v>能登島Ｂ</v>
      </c>
      <c r="K15" s="534"/>
      <c r="L15" s="534"/>
      <c r="M15" s="534"/>
      <c r="N15" s="534"/>
      <c r="O15" s="534"/>
      <c r="P15" s="535"/>
      <c r="Q15" s="543" t="str">
        <f>IF(R14="","",INDEX(記入!$A$7:$Q$62,MATCH(VALUE($A6&amp;Q$3&amp;2),記入!$A$7:$A$62,0),6))</f>
        <v>星稜ｻｯｶｰ場</v>
      </c>
      <c r="R15" s="534"/>
      <c r="S15" s="534"/>
      <c r="T15" s="534"/>
      <c r="U15" s="534"/>
      <c r="V15" s="534"/>
      <c r="W15" s="535"/>
      <c r="X15" s="543" t="str">
        <f>IF(Y14="","",INDEX(記入!$A$7:$Q$62,MATCH(VALUE($A6&amp;X$3&amp;2),記入!$A$7:$A$62,0),6))</f>
        <v>金沢市民</v>
      </c>
      <c r="Y15" s="534"/>
      <c r="Z15" s="534"/>
      <c r="AA15" s="534"/>
      <c r="AB15" s="534"/>
      <c r="AC15" s="534"/>
      <c r="AD15" s="535"/>
      <c r="AE15" s="543" t="str">
        <f>IF(AF14="","",INDEX(記入!$A$7:$Q$62,MATCH(VALUE($A6&amp;AE$3&amp;2),記入!$A$7:$A$62,0),6))</f>
        <v>小松市民</v>
      </c>
      <c r="AF15" s="534"/>
      <c r="AG15" s="534"/>
      <c r="AH15" s="534"/>
      <c r="AI15" s="534"/>
      <c r="AJ15" s="534"/>
      <c r="AK15" s="535"/>
      <c r="AL15" s="543" t="str">
        <f>IF(AM14="","",INDEX(記入!$A$7:$Q$62,MATCH(VALUE($A6&amp;AL$3&amp;2),記入!$A$7:$A$62,0),6))</f>
        <v>金沢市民</v>
      </c>
      <c r="AM15" s="534"/>
      <c r="AN15" s="534"/>
      <c r="AO15" s="534"/>
      <c r="AP15" s="534"/>
      <c r="AQ15" s="534"/>
      <c r="AR15" s="535"/>
      <c r="AS15" s="543" t="str">
        <f>IF(AT14="","",INDEX(記入!$A$7:$Q$62,MATCH(VALUE($A6&amp;AS$3&amp;2),記入!$A$7:$A$62,0),6))</f>
        <v>北陸大FPB</v>
      </c>
      <c r="AT15" s="534"/>
      <c r="AU15" s="534"/>
      <c r="AV15" s="534"/>
      <c r="AW15" s="534"/>
      <c r="AX15" s="534"/>
      <c r="AY15" s="535"/>
      <c r="AZ15" s="543" t="str">
        <f>IF(BA14="","",INDEX(記入!$A$7:$Q$62,MATCH(VALUE($A6&amp;AZ$3&amp;2),記入!$A$7:$A$62,0),6))</f>
        <v>金沢市民</v>
      </c>
      <c r="BA15" s="534"/>
      <c r="BB15" s="534"/>
      <c r="BC15" s="534"/>
      <c r="BD15" s="534"/>
      <c r="BE15" s="534"/>
      <c r="BF15" s="565"/>
      <c r="BG15" s="573"/>
      <c r="BH15" s="561"/>
      <c r="BI15" s="561"/>
      <c r="BJ15" s="575"/>
      <c r="BK15" s="570"/>
      <c r="BL15" s="47"/>
      <c r="BM15" s="582"/>
      <c r="BO15" s="117"/>
      <c r="BP15" s="579"/>
    </row>
    <row r="16" spans="1:68" ht="11.25" customHeight="1" x14ac:dyDescent="0.25">
      <c r="A16" s="528">
        <v>2</v>
      </c>
      <c r="B16" s="529" t="str">
        <f>編成!H4</f>
        <v>セブン能登
1st</v>
      </c>
      <c r="C16" s="536">
        <f>IF(E18="","",E17+E18)</f>
        <v>1</v>
      </c>
      <c r="D16" s="537"/>
      <c r="E16" s="537"/>
      <c r="F16" s="9" t="str">
        <f>IF(E18="","",IF(C16=G16,"△",IF(C16&gt;G16,"○","●")))</f>
        <v>△</v>
      </c>
      <c r="G16" s="537">
        <f>IF(G18="","",G17+G18)</f>
        <v>1</v>
      </c>
      <c r="H16" s="537"/>
      <c r="I16" s="542"/>
      <c r="J16" s="5"/>
      <c r="K16" s="85"/>
      <c r="L16" s="85"/>
      <c r="M16" s="85"/>
      <c r="N16" s="85"/>
      <c r="O16" s="85"/>
      <c r="P16" s="6"/>
      <c r="Q16" s="544">
        <f>IF(S17="","",INDEX(記入!$A$7:$Q$62,MATCH(VALUE($A16&amp;Q$3&amp;1),記入!$A$7:$A$62,0),9))</f>
        <v>0</v>
      </c>
      <c r="R16" s="537"/>
      <c r="S16" s="537"/>
      <c r="T16" s="9" t="str">
        <f>IF(S18="","",IF(Q16=U16,"△",IF(Q16&gt;U16,"○","●")))</f>
        <v>●</v>
      </c>
      <c r="U16" s="537">
        <f>IF(S17="","",INDEX(記入!$A$7:$Q$62,MATCH(VALUE($A16&amp;Q$3&amp;1),記入!$A$7:$A$62,0),15))</f>
        <v>1</v>
      </c>
      <c r="V16" s="537"/>
      <c r="W16" s="542"/>
      <c r="X16" s="544">
        <f>IF(Z17="","",INDEX(記入!$A$7:$Q$62,MATCH(VALUE($A16&amp;X$3&amp;1),記入!$A$7:$A$62,0),9))</f>
        <v>2</v>
      </c>
      <c r="Y16" s="537"/>
      <c r="Z16" s="537"/>
      <c r="AA16" s="9" t="str">
        <f>IF(Z18="","",IF(X16=AB16,"△",IF(X16&gt;AB16,"○","●")))</f>
        <v>○</v>
      </c>
      <c r="AB16" s="537">
        <f>IF(Z17="","",INDEX(記入!$A$7:$Q$62,MATCH(VALUE($A16&amp;X$3&amp;1),記入!$A$7:$A$62,0),15))</f>
        <v>1</v>
      </c>
      <c r="AC16" s="537"/>
      <c r="AD16" s="542"/>
      <c r="AE16" s="544">
        <f>IF(AG17="","",INDEX(記入!$A$7:$Q$62,MATCH(VALUE($A16&amp;AE$3&amp;1),記入!$A$7:$A$62,0),9))</f>
        <v>2</v>
      </c>
      <c r="AF16" s="537"/>
      <c r="AG16" s="537"/>
      <c r="AH16" s="9" t="str">
        <f>IF(AG18="","",IF(AE16=AI16,"△",IF(AE16&gt;AI16,"○","●")))</f>
        <v>○</v>
      </c>
      <c r="AI16" s="537">
        <f>IF(AG17="","",INDEX(記入!$A$7:$Q$62,MATCH(VALUE($A16&amp;AE$3&amp;1),記入!$A$7:$A$62,0),15))</f>
        <v>1</v>
      </c>
      <c r="AJ16" s="537"/>
      <c r="AK16" s="542"/>
      <c r="AL16" s="544">
        <f>IF(AN17="","",INDEX(記入!$A$7:$Q$62,MATCH(VALUE($A16&amp;AL$3&amp;1),記入!$A$7:$A$62,0),9))</f>
        <v>1</v>
      </c>
      <c r="AM16" s="537"/>
      <c r="AN16" s="537"/>
      <c r="AO16" s="9" t="str">
        <f>IF(AN18="","",IF(AL16=AP16,"△",IF(AL16&gt;AP16,"○","●")))</f>
        <v>△</v>
      </c>
      <c r="AP16" s="537">
        <f>IF(AN17="","",INDEX(記入!$A$7:$Q$62,MATCH(VALUE($A16&amp;AL$3&amp;1),記入!$A$7:$A$62,0),15))</f>
        <v>1</v>
      </c>
      <c r="AQ16" s="537"/>
      <c r="AR16" s="542"/>
      <c r="AS16" s="544">
        <f>IF(AU17="","",INDEX(記入!$A$7:$Q$62,MATCH(VALUE($A16&amp;AS$3&amp;1),記入!$A$7:$A$62,0),9))</f>
        <v>1</v>
      </c>
      <c r="AT16" s="537"/>
      <c r="AU16" s="537"/>
      <c r="AV16" s="9" t="str">
        <f>IF(AU18="","",IF(AS16=AW16,"△",IF(AS16&gt;AW16,"○","●")))</f>
        <v>●</v>
      </c>
      <c r="AW16" s="537">
        <f>IF(AU17="","",INDEX(記入!$A$7:$Q$62,MATCH(VALUE($A16&amp;AS$3&amp;1),記入!$A$7:$A$62,0),15))</f>
        <v>3</v>
      </c>
      <c r="AX16" s="537"/>
      <c r="AY16" s="542"/>
      <c r="AZ16" s="544">
        <f>IF(BB17="","",INDEX(記入!$A$7:$Q$62,MATCH(VALUE($A16&amp;AZ$3&amp;1),記入!$A$7:$A$62,0),9))</f>
        <v>5</v>
      </c>
      <c r="BA16" s="537"/>
      <c r="BB16" s="537"/>
      <c r="BC16" s="9" t="str">
        <f>IF(BB18="","",IF(AZ16=BD16,"△",IF(AZ16&gt;BD16,"○","●")))</f>
        <v>○</v>
      </c>
      <c r="BD16" s="537">
        <f>IF(BB17="","",INDEX(記入!$A$7:$Q$62,MATCH(VALUE($A16&amp;AZ$3&amp;1),記入!$A$7:$A$62,0),15))</f>
        <v>0</v>
      </c>
      <c r="BE16" s="537"/>
      <c r="BF16" s="566"/>
      <c r="BG16" s="588">
        <f>IF(COUNT(C17:BF17)=0,"",COUNTIF(M$6:M$85,"●")*3+COUNTIF(M$6:M$85,"△"))</f>
        <v>20</v>
      </c>
      <c r="BH16" s="560">
        <f>IF(BG16="","",SUM(N$6:N$85)/2)</f>
        <v>23</v>
      </c>
      <c r="BI16" s="560">
        <f>IF(BG16="","",SUM(J$6:J$85))</f>
        <v>12</v>
      </c>
      <c r="BJ16" s="583">
        <f>IF(BG16="","",BH16-BI16)</f>
        <v>11</v>
      </c>
      <c r="BK16" s="569">
        <f>IF(BG16="","",RANK(BL16,BL$6:BL$85))</f>
        <v>4</v>
      </c>
      <c r="BL16" s="47">
        <f>IF(BG16="",-ROW()*10000,BG16*10000+BJ16*100+BH16+COUNTIF(C16:BF16,"&gt;=0")/20)</f>
        <v>201123.7</v>
      </c>
      <c r="BM16" s="580">
        <f>RANK(BL16,BL$6:BL$85)</f>
        <v>4</v>
      </c>
      <c r="BN16" s="1">
        <v>11</v>
      </c>
      <c r="BO16" s="118">
        <f>IF(BG16="",-ROW()*10000,BG16*10000+BJ16*100+BH16+COUNTIF(C16:BF16,"&gt;=0")/20-ROW()/1000)</f>
        <v>201123.68400000001</v>
      </c>
      <c r="BP16" s="577">
        <f>RANK(BO16,BO$6:BO$85)</f>
        <v>4</v>
      </c>
    </row>
    <row r="17" spans="1:68" ht="10.5" customHeight="1" x14ac:dyDescent="0.25">
      <c r="A17" s="528"/>
      <c r="B17" s="530"/>
      <c r="C17" s="17"/>
      <c r="D17" s="5"/>
      <c r="E17" s="15">
        <f>IF(N7="","",N7)</f>
        <v>1</v>
      </c>
      <c r="F17" s="3" t="s">
        <v>199</v>
      </c>
      <c r="G17" s="16">
        <f>IF(L7="","",L7)</f>
        <v>0</v>
      </c>
      <c r="H17" s="6"/>
      <c r="I17" s="4"/>
      <c r="J17" s="2"/>
      <c r="K17" s="3"/>
      <c r="L17" s="3"/>
      <c r="M17" s="3"/>
      <c r="N17" s="3"/>
      <c r="O17" s="3"/>
      <c r="P17" s="4"/>
      <c r="Q17" s="2"/>
      <c r="R17" s="5"/>
      <c r="S17" s="15">
        <f>IF(R19="","",IF(INDEX(記入!$A$7:$Q$62,MATCH(VALUE($A16&amp;Q$3&amp;1),記入!$A$7:$A$62,0),11)="","",INDEX(記入!$A$7:$Q$62,MATCH(VALUE($A16&amp;Q$3&amp;1),記入!$A$7:$A$62,0),11)))</f>
        <v>0</v>
      </c>
      <c r="T17" s="3" t="s">
        <v>199</v>
      </c>
      <c r="U17" s="16">
        <f>IF(S17="","",INDEX(記入!$A$7:$Q$62,MATCH(VALUE($A16&amp;Q$3&amp;1),記入!$A$7:$A$62,0),13))</f>
        <v>0</v>
      </c>
      <c r="V17" s="6"/>
      <c r="W17" s="4"/>
      <c r="X17" s="2"/>
      <c r="Y17" s="5"/>
      <c r="Z17" s="15">
        <f>IF(Y19="","",IF(INDEX(記入!$A$7:$Q$62,MATCH(VALUE($A16&amp;X$3&amp;1),記入!$A$7:$A$62,0),11)="","",INDEX(記入!$A$7:$Q$62,MATCH(VALUE($A16&amp;X$3&amp;1),記入!$A$7:$A$62,0),11)))</f>
        <v>1</v>
      </c>
      <c r="AA17" s="3" t="s">
        <v>199</v>
      </c>
      <c r="AB17" s="16">
        <f>IF(Z17="","",INDEX(記入!$A$7:$Q$62,MATCH(VALUE($A16&amp;X$3&amp;1),記入!$A$7:$A$62,0),13))</f>
        <v>0</v>
      </c>
      <c r="AC17" s="6"/>
      <c r="AD17" s="4"/>
      <c r="AE17" s="2"/>
      <c r="AF17" s="5"/>
      <c r="AG17" s="15">
        <f>IF(AF19="","",IF(INDEX(記入!$A$7:$Q$62,MATCH(VALUE($A16&amp;AE$3&amp;1),記入!$A$7:$A$62,0),11)="","",INDEX(記入!$A$7:$Q$62,MATCH(VALUE($A16&amp;AE$3&amp;1),記入!$A$7:$A$62,0),11)))</f>
        <v>0</v>
      </c>
      <c r="AH17" s="3" t="s">
        <v>199</v>
      </c>
      <c r="AI17" s="16">
        <f>IF(AG17="","",INDEX(記入!$A$7:$Q$62,MATCH(VALUE($A16&amp;AE$3&amp;1),記入!$A$7:$A$62,0),13))</f>
        <v>0</v>
      </c>
      <c r="AJ17" s="6"/>
      <c r="AK17" s="4"/>
      <c r="AL17" s="2"/>
      <c r="AM17" s="5"/>
      <c r="AN17" s="15">
        <f>IF(AM19="","",IF(INDEX(記入!$A$7:$Q$62,MATCH(VALUE($A16&amp;AL$3&amp;1),記入!$A$7:$A$62,0),11)="","",INDEX(記入!$A$7:$Q$62,MATCH(VALUE($A16&amp;AL$3&amp;1),記入!$A$7:$A$62,0),11)))</f>
        <v>1</v>
      </c>
      <c r="AO17" s="3" t="s">
        <v>199</v>
      </c>
      <c r="AP17" s="16">
        <f>IF(AN17="","",INDEX(記入!$A$7:$Q$62,MATCH(VALUE($A16&amp;AL$3&amp;1),記入!$A$7:$A$62,0),13))</f>
        <v>0</v>
      </c>
      <c r="AQ17" s="6"/>
      <c r="AR17" s="4"/>
      <c r="AS17" s="2"/>
      <c r="AT17" s="5"/>
      <c r="AU17" s="15">
        <f>IF(AT19="","",IF(INDEX(記入!$A$7:$Q$62,MATCH(VALUE($A16&amp;AS$3&amp;1),記入!$A$7:$A$62,0),11)="","",INDEX(記入!$A$7:$Q$62,MATCH(VALUE($A16&amp;AS$3&amp;1),記入!$A$7:$A$62,0),11)))</f>
        <v>0</v>
      </c>
      <c r="AV17" s="3" t="s">
        <v>199</v>
      </c>
      <c r="AW17" s="16">
        <f>IF(AU17="","",INDEX(記入!$A$7:$Q$62,MATCH(VALUE($A16&amp;AS$3&amp;1),記入!$A$7:$A$62,0),13))</f>
        <v>2</v>
      </c>
      <c r="AX17" s="6"/>
      <c r="AY17" s="4"/>
      <c r="AZ17" s="2"/>
      <c r="BA17" s="5"/>
      <c r="BB17" s="15">
        <f>IF(BA19="","",IF(INDEX(記入!$A$7:$Q$62,MATCH(VALUE($A16&amp;AZ$3&amp;1),記入!$A$7:$A$62,0),11)="","",INDEX(記入!$A$7:$Q$62,MATCH(VALUE($A16&amp;AZ$3&amp;1),記入!$A$7:$A$62,0),11)))</f>
        <v>3</v>
      </c>
      <c r="BC17" s="3" t="s">
        <v>199</v>
      </c>
      <c r="BD17" s="16">
        <f>IF(BB17="","",INDEX(記入!$A$7:$Q$62,MATCH(VALUE($A16&amp;AZ$3&amp;1),記入!$A$7:$A$62,0),13))</f>
        <v>0</v>
      </c>
      <c r="BE17" s="6"/>
      <c r="BF17" s="356"/>
      <c r="BG17" s="573"/>
      <c r="BH17" s="561"/>
      <c r="BI17" s="561"/>
      <c r="BJ17" s="575"/>
      <c r="BK17" s="570"/>
      <c r="BL17" s="47"/>
      <c r="BM17" s="581"/>
      <c r="BO17" s="117"/>
      <c r="BP17" s="578"/>
    </row>
    <row r="18" spans="1:68" ht="10.5" customHeight="1" x14ac:dyDescent="0.25">
      <c r="A18" s="528"/>
      <c r="B18" s="530"/>
      <c r="C18" s="17"/>
      <c r="D18" s="7"/>
      <c r="E18" s="15">
        <f>IF(N8="","",N8)</f>
        <v>0</v>
      </c>
      <c r="F18" s="3" t="s">
        <v>199</v>
      </c>
      <c r="G18" s="16">
        <f>IF(L8="","",L8)</f>
        <v>1</v>
      </c>
      <c r="H18" s="8"/>
      <c r="I18" s="4"/>
      <c r="J18" s="2"/>
      <c r="K18" s="3"/>
      <c r="L18" s="3"/>
      <c r="M18" s="3"/>
      <c r="N18" s="3"/>
      <c r="O18" s="3"/>
      <c r="P18" s="4"/>
      <c r="Q18" s="2"/>
      <c r="R18" s="7"/>
      <c r="S18" s="15">
        <f>IF(S17="","",Q16-S17)</f>
        <v>0</v>
      </c>
      <c r="T18" s="3" t="s">
        <v>199</v>
      </c>
      <c r="U18" s="16">
        <f>IF(U17="","",U16-U17)</f>
        <v>1</v>
      </c>
      <c r="V18" s="8"/>
      <c r="W18" s="4"/>
      <c r="X18" s="2"/>
      <c r="Y18" s="7"/>
      <c r="Z18" s="15">
        <f>IF(Z17="","",X16-Z17)</f>
        <v>1</v>
      </c>
      <c r="AA18" s="3" t="s">
        <v>199</v>
      </c>
      <c r="AB18" s="16">
        <f>IF(AB17="","",AB16-AB17)</f>
        <v>1</v>
      </c>
      <c r="AC18" s="8"/>
      <c r="AD18" s="4"/>
      <c r="AE18" s="2"/>
      <c r="AF18" s="7"/>
      <c r="AG18" s="15">
        <f>IF(AG17="","",AE16-AG17)</f>
        <v>2</v>
      </c>
      <c r="AH18" s="3" t="s">
        <v>199</v>
      </c>
      <c r="AI18" s="16">
        <f>IF(AI17="","",AI16-AI17)</f>
        <v>1</v>
      </c>
      <c r="AJ18" s="8"/>
      <c r="AK18" s="4"/>
      <c r="AL18" s="2"/>
      <c r="AM18" s="7"/>
      <c r="AN18" s="15">
        <f>IF(AN17="","",AL16-AN17)</f>
        <v>0</v>
      </c>
      <c r="AO18" s="3" t="s">
        <v>199</v>
      </c>
      <c r="AP18" s="16">
        <f>IF(AP17="","",AP16-AP17)</f>
        <v>1</v>
      </c>
      <c r="AQ18" s="8"/>
      <c r="AR18" s="4"/>
      <c r="AS18" s="2"/>
      <c r="AT18" s="7"/>
      <c r="AU18" s="15">
        <f>IF(AU17="","",AS16-AU17)</f>
        <v>1</v>
      </c>
      <c r="AV18" s="3" t="s">
        <v>199</v>
      </c>
      <c r="AW18" s="16">
        <f>IF(AW17="","",AW16-AW17)</f>
        <v>1</v>
      </c>
      <c r="AX18" s="8"/>
      <c r="AY18" s="4"/>
      <c r="AZ18" s="2"/>
      <c r="BA18" s="7"/>
      <c r="BB18" s="15">
        <f>IF(BB17="","",AZ16-BB17)</f>
        <v>2</v>
      </c>
      <c r="BC18" s="3" t="s">
        <v>199</v>
      </c>
      <c r="BD18" s="16">
        <f>IF(BD17="","",BD16-BD17)</f>
        <v>0</v>
      </c>
      <c r="BE18" s="8"/>
      <c r="BF18" s="356"/>
      <c r="BG18" s="573"/>
      <c r="BH18" s="561"/>
      <c r="BI18" s="561"/>
      <c r="BJ18" s="575"/>
      <c r="BK18" s="570"/>
      <c r="BL18" s="47"/>
      <c r="BM18" s="581"/>
      <c r="BO18" s="117"/>
      <c r="BP18" s="578"/>
    </row>
    <row r="19" spans="1:68" ht="11.25" customHeight="1" x14ac:dyDescent="0.25">
      <c r="A19" s="528"/>
      <c r="B19" s="530"/>
      <c r="C19" s="357"/>
      <c r="D19" s="532" t="str">
        <f>IF(C20="","",K9)</f>
        <v>⑦</v>
      </c>
      <c r="E19" s="532"/>
      <c r="F19" s="540">
        <f>IF(C20="","",M9)</f>
        <v>42553</v>
      </c>
      <c r="G19" s="540"/>
      <c r="H19" s="540"/>
      <c r="I19" s="541"/>
      <c r="J19" s="2"/>
      <c r="K19" s="3"/>
      <c r="L19" s="3"/>
      <c r="M19" s="3"/>
      <c r="N19" s="3"/>
      <c r="O19" s="3"/>
      <c r="P19" s="4"/>
      <c r="Q19" s="80"/>
      <c r="R19" s="532" t="str">
        <f>IF(COUNT(MATCH(VALUE($A16&amp;Q$3&amp;1),記入!$A$7:$A$62,0))=0,"",INDEX(記入!$A$7:$Q$62,MATCH(VALUE($A16&amp;Q$3&amp;1),記入!$A$7:$A$62,0),3))</f>
        <v>⑦</v>
      </c>
      <c r="S19" s="532"/>
      <c r="T19" s="546">
        <f>IF(R19="","",INDEX(記入!$A$7:$Q$62,MATCH(VALUE($A16&amp;Q$3&amp;1),記入!$A$7:$A$62,0),4))</f>
        <v>42546</v>
      </c>
      <c r="U19" s="546"/>
      <c r="V19" s="546"/>
      <c r="W19" s="547"/>
      <c r="X19" s="80"/>
      <c r="Y19" s="532" t="str">
        <f>IF(COUNT(MATCH(VALUE($A16&amp;X$3&amp;1),記入!$A$7:$A$62,0))=0,"",INDEX(記入!$A$7:$Q$62,MATCH(VALUE($A16&amp;X$3&amp;1),記入!$A$7:$A$62,0),3))</f>
        <v>②</v>
      </c>
      <c r="Z19" s="532"/>
      <c r="AA19" s="546">
        <f>IF(Y19="","",INDEX(記入!$A$7:$Q$62,MATCH(VALUE($A16&amp;X$3&amp;1),記入!$A$7:$A$62,0),4))</f>
        <v>42491</v>
      </c>
      <c r="AB19" s="546"/>
      <c r="AC19" s="546"/>
      <c r="AD19" s="547"/>
      <c r="AE19" s="80"/>
      <c r="AF19" s="532" t="str">
        <f>IF(COUNT(MATCH(VALUE($A16&amp;AE$3&amp;1),記入!$A$7:$A$62,0))=0,"",INDEX(記入!$A$7:$Q$62,MATCH(VALUE($A16&amp;AE$3&amp;1),記入!$A$7:$A$62,0),3))</f>
        <v>⑥</v>
      </c>
      <c r="AG19" s="532"/>
      <c r="AH19" s="546">
        <f>IF(AF19="","",INDEX(記入!$A$7:$Q$62,MATCH(VALUE($A16&amp;AE$3&amp;1),記入!$A$7:$A$62,0),4))</f>
        <v>42518</v>
      </c>
      <c r="AI19" s="546"/>
      <c r="AJ19" s="546"/>
      <c r="AK19" s="547"/>
      <c r="AL19" s="80"/>
      <c r="AM19" s="532" t="str">
        <f>IF(COUNT(MATCH(VALUE($A16&amp;AL$3&amp;1),記入!$A$7:$A$62,0))=0,"",INDEX(記入!$A$7:$Q$62,MATCH(VALUE($A16&amp;AL$3&amp;1),記入!$A$7:$A$62,0),3))</f>
        <v>③</v>
      </c>
      <c r="AN19" s="532"/>
      <c r="AO19" s="546">
        <f>IF(AM19="","",INDEX(記入!$A$7:$Q$62,MATCH(VALUE($A16&amp;AL$3&amp;1),記入!$A$7:$A$62,0),4))</f>
        <v>42498</v>
      </c>
      <c r="AP19" s="546"/>
      <c r="AQ19" s="546"/>
      <c r="AR19" s="547"/>
      <c r="AS19" s="80"/>
      <c r="AT19" s="532" t="str">
        <f>IF(COUNT(MATCH(VALUE($A16&amp;AS$3&amp;1),記入!$A$7:$A$62,0))=0,"",INDEX(記入!$A$7:$Q$62,MATCH(VALUE($A16&amp;AS$3&amp;1),記入!$A$7:$A$62,0),3))</f>
        <v>①</v>
      </c>
      <c r="AU19" s="532"/>
      <c r="AV19" s="546">
        <f>IF(AT19="","",INDEX(記入!$A$7:$Q$62,MATCH(VALUE($A16&amp;AS$3&amp;1),記入!$A$7:$A$62,0),4))</f>
        <v>42489</v>
      </c>
      <c r="AW19" s="546"/>
      <c r="AX19" s="546"/>
      <c r="AY19" s="547"/>
      <c r="AZ19" s="80"/>
      <c r="BA19" s="532" t="str">
        <f>IF(COUNT(MATCH(VALUE($A16&amp;AZ$3&amp;1),記入!$A$7:$A$62,0))=0,"",INDEX(記入!$A$7:$Q$62,MATCH(VALUE($A16&amp;AZ$3&amp;1),記入!$A$7:$A$62,0),3))</f>
        <v>④</v>
      </c>
      <c r="BB19" s="532"/>
      <c r="BC19" s="546">
        <f>IF(BA19="","",INDEX(記入!$A$7:$Q$62,MATCH(VALUE($A16&amp;AZ$3&amp;1),記入!$A$7:$A$62,0),4))</f>
        <v>42504</v>
      </c>
      <c r="BD19" s="546"/>
      <c r="BE19" s="546"/>
      <c r="BF19" s="567"/>
      <c r="BG19" s="573"/>
      <c r="BH19" s="561"/>
      <c r="BI19" s="561"/>
      <c r="BJ19" s="575"/>
      <c r="BK19" s="570"/>
      <c r="BL19" s="47"/>
      <c r="BM19" s="581"/>
      <c r="BO19" s="117"/>
      <c r="BP19" s="578"/>
    </row>
    <row r="20" spans="1:68" ht="11.25" customHeight="1" x14ac:dyDescent="0.25">
      <c r="A20" s="528"/>
      <c r="B20" s="530"/>
      <c r="C20" s="533" t="str">
        <f>IF(J10="","",J10)</f>
        <v>金沢市民</v>
      </c>
      <c r="D20" s="534"/>
      <c r="E20" s="534"/>
      <c r="F20" s="534"/>
      <c r="G20" s="534"/>
      <c r="H20" s="534"/>
      <c r="I20" s="535"/>
      <c r="J20" s="7"/>
      <c r="K20" s="358"/>
      <c r="L20" s="358"/>
      <c r="M20" s="358"/>
      <c r="N20" s="358"/>
      <c r="O20" s="358"/>
      <c r="P20" s="8"/>
      <c r="Q20" s="543" t="str">
        <f>IF(R19="","",INDEX(記入!$A$7:$Q$62,MATCH(VALUE($A16&amp;Q$3&amp;1),記入!$A$7:$A$62,0),6))</f>
        <v>能登島Ｂ</v>
      </c>
      <c r="R20" s="534"/>
      <c r="S20" s="534"/>
      <c r="T20" s="534"/>
      <c r="U20" s="534"/>
      <c r="V20" s="534"/>
      <c r="W20" s="535"/>
      <c r="X20" s="543" t="str">
        <f>IF(Y19="","",INDEX(記入!$A$7:$Q$62,MATCH(VALUE($A16&amp;X$3&amp;1),記入!$A$7:$A$62,0),6))</f>
        <v>能登島Ｂ</v>
      </c>
      <c r="Y20" s="534"/>
      <c r="Z20" s="534"/>
      <c r="AA20" s="534"/>
      <c r="AB20" s="534"/>
      <c r="AC20" s="534"/>
      <c r="AD20" s="535"/>
      <c r="AE20" s="543" t="str">
        <f>IF(AF19="","",INDEX(記入!$A$7:$Q$62,MATCH(VALUE($A16&amp;AE$3&amp;1),記入!$A$7:$A$62,0),6))</f>
        <v>金沢市民</v>
      </c>
      <c r="AF20" s="534"/>
      <c r="AG20" s="534"/>
      <c r="AH20" s="534"/>
      <c r="AI20" s="534"/>
      <c r="AJ20" s="534"/>
      <c r="AK20" s="535"/>
      <c r="AL20" s="543" t="str">
        <f>IF(AM19="","",INDEX(記入!$A$7:$Q$62,MATCH(VALUE($A16&amp;AL$3&amp;1),記入!$A$7:$A$62,0),6))</f>
        <v>和倉Ａ</v>
      </c>
      <c r="AM20" s="534"/>
      <c r="AN20" s="534"/>
      <c r="AO20" s="534"/>
      <c r="AP20" s="534"/>
      <c r="AQ20" s="534"/>
      <c r="AR20" s="535"/>
      <c r="AS20" s="543" t="str">
        <f>IF(AT19="","",INDEX(記入!$A$7:$Q$62,MATCH(VALUE($A16&amp;AS$3&amp;1),記入!$A$7:$A$62,0),6))</f>
        <v>能登島Ｂ</v>
      </c>
      <c r="AT20" s="534"/>
      <c r="AU20" s="534"/>
      <c r="AV20" s="534"/>
      <c r="AW20" s="534"/>
      <c r="AX20" s="534"/>
      <c r="AY20" s="535"/>
      <c r="AZ20" s="543" t="str">
        <f>IF(BA19="","",INDEX(記入!$A$7:$Q$62,MATCH(VALUE($A16&amp;AZ$3&amp;1),記入!$A$7:$A$62,0),6))</f>
        <v>金沢交流</v>
      </c>
      <c r="BA20" s="534"/>
      <c r="BB20" s="534"/>
      <c r="BC20" s="534"/>
      <c r="BD20" s="534"/>
      <c r="BE20" s="534"/>
      <c r="BF20" s="565"/>
      <c r="BG20" s="573"/>
      <c r="BH20" s="561"/>
      <c r="BI20" s="561"/>
      <c r="BJ20" s="575"/>
      <c r="BK20" s="570"/>
      <c r="BL20" s="47"/>
      <c r="BM20" s="581"/>
      <c r="BO20" s="117"/>
      <c r="BP20" s="578"/>
    </row>
    <row r="21" spans="1:68" ht="11.25" customHeight="1" x14ac:dyDescent="0.25">
      <c r="A21" s="528"/>
      <c r="B21" s="530"/>
      <c r="C21" s="538">
        <f>IF(E23="","",E22+E23)</f>
        <v>0</v>
      </c>
      <c r="D21" s="532"/>
      <c r="E21" s="532"/>
      <c r="F21" s="1" t="str">
        <f>IF(E23="","",IF(C21=G21,"△",IF(C21&gt;G21,"○","●")))</f>
        <v>●</v>
      </c>
      <c r="G21" s="532">
        <f>IF(G23="","",G22+G23)</f>
        <v>3</v>
      </c>
      <c r="H21" s="532"/>
      <c r="I21" s="539"/>
      <c r="J21" s="2"/>
      <c r="K21" s="3"/>
      <c r="L21" s="3"/>
      <c r="M21" s="3"/>
      <c r="N21" s="3"/>
      <c r="O21" s="3"/>
      <c r="P21" s="4"/>
      <c r="Q21" s="548" t="str">
        <f>IF(S22="","",INDEX(記入!$A$7:$Q$62,MATCH(VALUE($A16&amp;Q$3&amp;2),記入!$A$7:$A$62,0),9))</f>
        <v/>
      </c>
      <c r="R21" s="532"/>
      <c r="S21" s="532"/>
      <c r="T21" s="1" t="str">
        <f>IF(S23="","",IF(Q21=U21,"△",IF(Q21&gt;U21,"○","●")))</f>
        <v/>
      </c>
      <c r="U21" s="532" t="str">
        <f>IF(S22="","",INDEX(記入!$A$7:$Q$62,MATCH(VALUE($A16&amp;Q$3&amp;2),記入!$A$7:$A$62,0),15))</f>
        <v/>
      </c>
      <c r="V21" s="532"/>
      <c r="W21" s="539"/>
      <c r="X21" s="548">
        <f>IF(Z22="","",INDEX(記入!$A$7:$Q$62,MATCH(VALUE($A16&amp;X$3&amp;2),記入!$A$7:$A$62,0),9))</f>
        <v>2</v>
      </c>
      <c r="Y21" s="532"/>
      <c r="Z21" s="532"/>
      <c r="AA21" s="1" t="str">
        <f>IF(Z23="","",IF(X21=AB21,"△",IF(X21&gt;AB21,"○","●")))</f>
        <v>○</v>
      </c>
      <c r="AB21" s="532">
        <f>IF(Z22="","",INDEX(記入!$A$7:$Q$62,MATCH(VALUE($A16&amp;X$3&amp;2),記入!$A$7:$A$62,0),15))</f>
        <v>0</v>
      </c>
      <c r="AC21" s="532"/>
      <c r="AD21" s="539"/>
      <c r="AE21" s="548" t="str">
        <f>IF(AG22="","",INDEX(記入!$A$7:$Q$62,MATCH(VALUE($A16&amp;AE$3&amp;2),記入!$A$7:$A$62,0),9))</f>
        <v/>
      </c>
      <c r="AF21" s="532"/>
      <c r="AG21" s="532"/>
      <c r="AH21" s="1" t="str">
        <f>IF(AG23="","",IF(AE21=AI21,"△",IF(AE21&gt;AI21,"○","●")))</f>
        <v/>
      </c>
      <c r="AI21" s="532" t="str">
        <f>IF(AG22="","",INDEX(記入!$A$7:$Q$62,MATCH(VALUE($A16&amp;AE$3&amp;2),記入!$A$7:$A$62,0),15))</f>
        <v/>
      </c>
      <c r="AJ21" s="532"/>
      <c r="AK21" s="539"/>
      <c r="AL21" s="548" t="str">
        <f>IF(AN22="","",INDEX(記入!$A$7:$Q$62,MATCH(VALUE($A16&amp;AL$3&amp;2),記入!$A$7:$A$62,0),9))</f>
        <v/>
      </c>
      <c r="AM21" s="532"/>
      <c r="AN21" s="532"/>
      <c r="AO21" s="1" t="str">
        <f>IF(AN23="","",IF(AL21=AP21,"△",IF(AL21&gt;AP21,"○","●")))</f>
        <v/>
      </c>
      <c r="AP21" s="532" t="str">
        <f>IF(AN22="","",INDEX(記入!$A$7:$Q$62,MATCH(VALUE($A16&amp;AL$3&amp;2),記入!$A$7:$A$62,0),15))</f>
        <v/>
      </c>
      <c r="AQ21" s="532"/>
      <c r="AR21" s="539"/>
      <c r="AS21" s="548">
        <f>IF(AU22="","",INDEX(記入!$A$7:$Q$62,MATCH(VALUE($A16&amp;AS$3&amp;2),記入!$A$7:$A$62,0),9))</f>
        <v>4</v>
      </c>
      <c r="AT21" s="532"/>
      <c r="AU21" s="532"/>
      <c r="AV21" s="1" t="str">
        <f>IF(AU23="","",IF(AS21=AW21,"△",IF(AS21&gt;AW21,"○","●")))</f>
        <v>○</v>
      </c>
      <c r="AW21" s="532">
        <f>IF(AU22="","",INDEX(記入!$A$7:$Q$62,MATCH(VALUE($A16&amp;AS$3&amp;2),記入!$A$7:$A$62,0),15))</f>
        <v>1</v>
      </c>
      <c r="AX21" s="532"/>
      <c r="AY21" s="539"/>
      <c r="AZ21" s="548">
        <f>IF(BB22="","",INDEX(記入!$A$7:$Q$62,MATCH(VALUE($A16&amp;AZ$3&amp;2),記入!$A$7:$A$62,0),9))</f>
        <v>5</v>
      </c>
      <c r="BA21" s="532"/>
      <c r="BB21" s="532"/>
      <c r="BC21" s="1" t="str">
        <f>IF(BB23="","",IF(AZ21=BD21,"△",IF(AZ21&gt;BD21,"○","●")))</f>
        <v>○</v>
      </c>
      <c r="BD21" s="532">
        <f>IF(BB22="","",INDEX(記入!$A$7:$Q$62,MATCH(VALUE($A16&amp;AZ$3&amp;2),記入!$A$7:$A$62,0),15))</f>
        <v>0</v>
      </c>
      <c r="BE21" s="532"/>
      <c r="BF21" s="539"/>
      <c r="BG21" s="573"/>
      <c r="BH21" s="561"/>
      <c r="BI21" s="561"/>
      <c r="BJ21" s="575"/>
      <c r="BK21" s="570"/>
      <c r="BL21" s="47"/>
      <c r="BM21" s="581"/>
      <c r="BO21" s="117"/>
      <c r="BP21" s="578"/>
    </row>
    <row r="22" spans="1:68" ht="11.25" customHeight="1" x14ac:dyDescent="0.25">
      <c r="A22" s="528"/>
      <c r="B22" s="530"/>
      <c r="C22" s="17"/>
      <c r="D22" s="5"/>
      <c r="E22" s="15">
        <f>IF(N12="","",N12)</f>
        <v>0</v>
      </c>
      <c r="F22" s="3" t="s">
        <v>199</v>
      </c>
      <c r="G22" s="16">
        <f>IF(L12="","",L12)</f>
        <v>1</v>
      </c>
      <c r="H22" s="6"/>
      <c r="I22" s="4"/>
      <c r="J22" s="2"/>
      <c r="K22" s="3"/>
      <c r="L22" s="3"/>
      <c r="M22" s="3"/>
      <c r="N22" s="3"/>
      <c r="O22" s="3"/>
      <c r="P22" s="4"/>
      <c r="Q22" s="2"/>
      <c r="R22" s="5"/>
      <c r="S22" s="15" t="str">
        <f>IF(R24="","",IF(INDEX(記入!$A$7:$Q$62,MATCH(VALUE($A16&amp;Q$3&amp;2),記入!$A$7:$A$62,0),11)="","",INDEX(記入!$A$7:$Q$62,MATCH(VALUE($A16&amp;Q$3&amp;2),記入!$A$7:$A$62,0),11)))</f>
        <v/>
      </c>
      <c r="T22" s="3" t="s">
        <v>199</v>
      </c>
      <c r="U22" s="16" t="str">
        <f>IF(S22="","",INDEX(記入!$A$7:$Q$62,MATCH(VALUE($A16&amp;Q$3&amp;2),記入!$A$7:$A$62,0),13))</f>
        <v/>
      </c>
      <c r="V22" s="6"/>
      <c r="W22" s="4"/>
      <c r="X22" s="2"/>
      <c r="Y22" s="5"/>
      <c r="Z22" s="15">
        <f>IF(Y24="","",IF(INDEX(記入!$A$7:$Q$62,MATCH(VALUE($A16&amp;X$3&amp;2),記入!$A$7:$A$62,0),11)="","",INDEX(記入!$A$7:$Q$62,MATCH(VALUE($A16&amp;X$3&amp;2),記入!$A$7:$A$62,0),11)))</f>
        <v>0</v>
      </c>
      <c r="AA22" s="3" t="s">
        <v>199</v>
      </c>
      <c r="AB22" s="16">
        <f>IF(Z22="","",INDEX(記入!$A$7:$Q$62,MATCH(VALUE($A16&amp;X$3&amp;2),記入!$A$7:$A$62,0),13))</f>
        <v>0</v>
      </c>
      <c r="AC22" s="6"/>
      <c r="AD22" s="4"/>
      <c r="AE22" s="2"/>
      <c r="AF22" s="5"/>
      <c r="AG22" s="15" t="str">
        <f>IF(AF24="","",IF(INDEX(記入!$A$7:$Q$62,MATCH(VALUE($A16&amp;AE$3&amp;2),記入!$A$7:$A$62,0),11)="","",INDEX(記入!$A$7:$Q$62,MATCH(VALUE($A16&amp;AE$3&amp;2),記入!$A$7:$A$62,0),11)))</f>
        <v/>
      </c>
      <c r="AH22" s="3" t="s">
        <v>199</v>
      </c>
      <c r="AI22" s="16" t="str">
        <f>IF(AG22="","",INDEX(記入!$A$7:$Q$62,MATCH(VALUE($A16&amp;AE$3&amp;2),記入!$A$7:$A$62,0),13))</f>
        <v/>
      </c>
      <c r="AJ22" s="6"/>
      <c r="AK22" s="4"/>
      <c r="AL22" s="2"/>
      <c r="AM22" s="5"/>
      <c r="AN22" s="15" t="str">
        <f>IF(AM24="","",IF(INDEX(記入!$A$7:$Q$62,MATCH(VALUE($A16&amp;AL$3&amp;2),記入!$A$7:$A$62,0),11)="","",INDEX(記入!$A$7:$Q$62,MATCH(VALUE($A16&amp;AL$3&amp;2),記入!$A$7:$A$62,0),11)))</f>
        <v/>
      </c>
      <c r="AO22" s="3" t="s">
        <v>199</v>
      </c>
      <c r="AP22" s="16" t="str">
        <f>IF(AN22="","",INDEX(記入!$A$7:$Q$62,MATCH(VALUE($A16&amp;AL$3&amp;2),記入!$A$7:$A$62,0),13))</f>
        <v/>
      </c>
      <c r="AQ22" s="6"/>
      <c r="AR22" s="4"/>
      <c r="AS22" s="2"/>
      <c r="AT22" s="5"/>
      <c r="AU22" s="15">
        <f>IF(AT24="","",IF(INDEX(記入!$A$7:$Q$62,MATCH(VALUE($A16&amp;AS$3&amp;2),記入!$A$7:$A$62,0),11)="","",INDEX(記入!$A$7:$Q$62,MATCH(VALUE($A16&amp;AS$3&amp;2),記入!$A$7:$A$62,0),11)))</f>
        <v>2</v>
      </c>
      <c r="AV22" s="3" t="s">
        <v>199</v>
      </c>
      <c r="AW22" s="16">
        <f>IF(AU22="","",INDEX(記入!$A$7:$Q$62,MATCH(VALUE($A16&amp;AS$3&amp;2),記入!$A$7:$A$62,0),13))</f>
        <v>0</v>
      </c>
      <c r="AX22" s="6"/>
      <c r="AY22" s="4"/>
      <c r="AZ22" s="2"/>
      <c r="BA22" s="5"/>
      <c r="BB22" s="15">
        <f>IF(BA24="","",IF(INDEX(記入!$A$7:$Q$62,MATCH(VALUE($A16&amp;AZ$3&amp;2),記入!$A$7:$A$62,0),11)="","",INDEX(記入!$A$7:$Q$62,MATCH(VALUE($A16&amp;AZ$3&amp;2),記入!$A$7:$A$62,0),11)))</f>
        <v>2</v>
      </c>
      <c r="BC22" s="3" t="s">
        <v>199</v>
      </c>
      <c r="BD22" s="16">
        <f>IF(BB22="","",INDEX(記入!$A$7:$Q$62,MATCH(VALUE($A16&amp;AZ$3&amp;2),記入!$A$7:$A$62,0),13))</f>
        <v>0</v>
      </c>
      <c r="BE22" s="6"/>
      <c r="BF22" s="4"/>
      <c r="BG22" s="573"/>
      <c r="BH22" s="561"/>
      <c r="BI22" s="561"/>
      <c r="BJ22" s="575"/>
      <c r="BK22" s="570"/>
      <c r="BL22" s="47"/>
      <c r="BM22" s="581"/>
      <c r="BO22" s="117"/>
      <c r="BP22" s="578"/>
    </row>
    <row r="23" spans="1:68" ht="11.25" customHeight="1" x14ac:dyDescent="0.25">
      <c r="A23" s="528"/>
      <c r="B23" s="530"/>
      <c r="C23" s="17"/>
      <c r="D23" s="7"/>
      <c r="E23" s="15">
        <f>IF(N13="","",N13)</f>
        <v>0</v>
      </c>
      <c r="F23" s="3" t="s">
        <v>199</v>
      </c>
      <c r="G23" s="16">
        <f>IF(L13="","",L13)</f>
        <v>2</v>
      </c>
      <c r="H23" s="8"/>
      <c r="I23" s="4"/>
      <c r="J23" s="2"/>
      <c r="K23" s="3"/>
      <c r="L23" s="3"/>
      <c r="M23" s="3"/>
      <c r="N23" s="3"/>
      <c r="O23" s="3"/>
      <c r="P23" s="4"/>
      <c r="Q23" s="2"/>
      <c r="R23" s="7"/>
      <c r="S23" s="15" t="str">
        <f>IF(S22="","",Q21-S22)</f>
        <v/>
      </c>
      <c r="T23" s="3" t="s">
        <v>199</v>
      </c>
      <c r="U23" s="16" t="str">
        <f>IF(U22="","",U21-U22)</f>
        <v/>
      </c>
      <c r="V23" s="8"/>
      <c r="W23" s="4"/>
      <c r="X23" s="2"/>
      <c r="Y23" s="7"/>
      <c r="Z23" s="15">
        <f>IF(Z22="","",X21-Z22)</f>
        <v>2</v>
      </c>
      <c r="AA23" s="3" t="s">
        <v>199</v>
      </c>
      <c r="AB23" s="16">
        <f>IF(AB22="","",AB21-AB22)</f>
        <v>0</v>
      </c>
      <c r="AC23" s="8"/>
      <c r="AD23" s="4"/>
      <c r="AE23" s="2"/>
      <c r="AF23" s="7"/>
      <c r="AG23" s="15" t="str">
        <f>IF(AG22="","",AE21-AG22)</f>
        <v/>
      </c>
      <c r="AH23" s="3" t="s">
        <v>199</v>
      </c>
      <c r="AI23" s="16" t="str">
        <f>IF(AI22="","",AI21-AI22)</f>
        <v/>
      </c>
      <c r="AJ23" s="8"/>
      <c r="AK23" s="4"/>
      <c r="AL23" s="2"/>
      <c r="AM23" s="7"/>
      <c r="AN23" s="15" t="str">
        <f>IF(AN22="","",AL21-AN22)</f>
        <v/>
      </c>
      <c r="AO23" s="3" t="s">
        <v>199</v>
      </c>
      <c r="AP23" s="16" t="str">
        <f>IF(AP22="","",AP21-AP22)</f>
        <v/>
      </c>
      <c r="AQ23" s="8"/>
      <c r="AR23" s="4"/>
      <c r="AS23" s="2"/>
      <c r="AT23" s="7"/>
      <c r="AU23" s="15">
        <f>IF(AU22="","",AS21-AU22)</f>
        <v>2</v>
      </c>
      <c r="AV23" s="3" t="s">
        <v>199</v>
      </c>
      <c r="AW23" s="16">
        <f>IF(AW22="","",AW21-AW22)</f>
        <v>1</v>
      </c>
      <c r="AX23" s="8"/>
      <c r="AY23" s="4"/>
      <c r="AZ23" s="2"/>
      <c r="BA23" s="7"/>
      <c r="BB23" s="15">
        <f>IF(BB22="","",AZ21-BB22)</f>
        <v>3</v>
      </c>
      <c r="BC23" s="3" t="s">
        <v>199</v>
      </c>
      <c r="BD23" s="16">
        <f>IF(BD22="","",BD21-BD22)</f>
        <v>0</v>
      </c>
      <c r="BE23" s="8"/>
      <c r="BF23" s="4"/>
      <c r="BG23" s="573"/>
      <c r="BH23" s="561"/>
      <c r="BI23" s="561"/>
      <c r="BJ23" s="575"/>
      <c r="BK23" s="570"/>
      <c r="BL23" s="47"/>
      <c r="BM23" s="581"/>
      <c r="BO23" s="117"/>
      <c r="BP23" s="578"/>
    </row>
    <row r="24" spans="1:68" ht="11.25" customHeight="1" x14ac:dyDescent="0.25">
      <c r="A24" s="528"/>
      <c r="B24" s="530"/>
      <c r="D24" s="532" t="str">
        <f>IF(C25="","",K14)</f>
        <v>②</v>
      </c>
      <c r="E24" s="532"/>
      <c r="F24" s="540">
        <f>IF(C25="","",M14)</f>
        <v>42624</v>
      </c>
      <c r="G24" s="540"/>
      <c r="H24" s="540"/>
      <c r="I24" s="541"/>
      <c r="J24" s="2"/>
      <c r="K24" s="3"/>
      <c r="L24" s="3"/>
      <c r="M24" s="3"/>
      <c r="N24" s="3"/>
      <c r="O24" s="3"/>
      <c r="P24" s="4"/>
      <c r="Q24" s="80"/>
      <c r="R24" s="532" t="str">
        <f>IF(COUNT(MATCH(VALUE($A16&amp;Q$3&amp;2),記入!$A$7:$A$62,0))=0,"",INDEX(記入!$A$7:$Q$62,MATCH(VALUE($A16&amp;Q$3&amp;2),記入!$A$7:$A$62,0),3))</f>
        <v>②</v>
      </c>
      <c r="S24" s="532"/>
      <c r="T24" s="546">
        <f>IF(R24="","",INDEX(記入!$A$7:$Q$62,MATCH(VALUE($A16&amp;Q$3&amp;2),記入!$A$7:$A$62,0),4))</f>
        <v>42677</v>
      </c>
      <c r="U24" s="546"/>
      <c r="V24" s="546"/>
      <c r="W24" s="547"/>
      <c r="X24" s="80"/>
      <c r="Y24" s="532" t="str">
        <f>IF(COUNT(MATCH(VALUE($A16&amp;X$3&amp;2),記入!$A$7:$A$62,0))=0,"",INDEX(記入!$A$7:$Q$62,MATCH(VALUE($A16&amp;X$3&amp;2),記入!$A$7:$A$62,0),3))</f>
        <v>⑨</v>
      </c>
      <c r="Z24" s="532"/>
      <c r="AA24" s="546">
        <f>IF(Y24="","",INDEX(記入!$A$7:$Q$62,MATCH(VALUE($A16&amp;X$3&amp;2),記入!$A$7:$A$62,0),4))</f>
        <v>42581</v>
      </c>
      <c r="AB24" s="546"/>
      <c r="AC24" s="546"/>
      <c r="AD24" s="547"/>
      <c r="AE24" s="80"/>
      <c r="AF24" s="532" t="str">
        <f>IF(COUNT(MATCH(VALUE($A16&amp;AE$3&amp;2),記入!$A$7:$A$62,0))=0,"",INDEX(記入!$A$7:$Q$62,MATCH(VALUE($A16&amp;AE$3&amp;2),記入!$A$7:$A$62,0),3))</f>
        <v>②</v>
      </c>
      <c r="AG24" s="532"/>
      <c r="AH24" s="546">
        <f>IF(AF24="","",INDEX(記入!$A$7:$Q$62,MATCH(VALUE($A16&amp;AE$3&amp;2),記入!$A$7:$A$62,0),4))</f>
        <v>42658</v>
      </c>
      <c r="AI24" s="546"/>
      <c r="AJ24" s="546"/>
      <c r="AK24" s="547"/>
      <c r="AL24" s="80"/>
      <c r="AM24" s="532" t="str">
        <f>IF(COUNT(MATCH(VALUE($A16&amp;AL$3&amp;2),記入!$A$7:$A$62,0))=0,"",INDEX(記入!$A$7:$Q$62,MATCH(VALUE($A16&amp;AL$3&amp;2),記入!$A$7:$A$62,0),3))</f>
        <v>②</v>
      </c>
      <c r="AN24" s="532"/>
      <c r="AO24" s="546">
        <f>IF(AM24="","",INDEX(記入!$A$7:$Q$62,MATCH(VALUE($A16&amp;AL$3&amp;2),記入!$A$7:$A$62,0),4))</f>
        <v>42673</v>
      </c>
      <c r="AP24" s="546"/>
      <c r="AQ24" s="546"/>
      <c r="AR24" s="547"/>
      <c r="AS24" s="80"/>
      <c r="AT24" s="532" t="str">
        <f>IF(COUNT(MATCH(VALUE($A16&amp;AS$3&amp;2),記入!$A$7:$A$62,0))=0,"",INDEX(記入!$A$7:$Q$62,MATCH(VALUE($A16&amp;AS$3&amp;2),記入!$A$7:$A$62,0),3))</f>
        <v>②</v>
      </c>
      <c r="AU24" s="532"/>
      <c r="AV24" s="546">
        <f>IF(AT24="","",INDEX(記入!$A$7:$Q$62,MATCH(VALUE($A16&amp;AS$3&amp;2),記入!$A$7:$A$62,0),4))</f>
        <v>42644</v>
      </c>
      <c r="AW24" s="546"/>
      <c r="AX24" s="546"/>
      <c r="AY24" s="547"/>
      <c r="AZ24" s="80"/>
      <c r="BA24" s="532" t="str">
        <f>IF(COUNT(MATCH(VALUE($A16&amp;AZ$3&amp;2),記入!$A$7:$A$62,0))=0,"",INDEX(記入!$A$7:$Q$62,MATCH(VALUE($A16&amp;AZ$3&amp;2),記入!$A$7:$A$62,0),3))</f>
        <v>⑧</v>
      </c>
      <c r="BB24" s="532"/>
      <c r="BC24" s="546">
        <f>IF(BA24="","",INDEX(記入!$A$7:$Q$62,MATCH(VALUE($A16&amp;AZ$3&amp;2),記入!$A$7:$A$62,0),4))</f>
        <v>42574</v>
      </c>
      <c r="BD24" s="546"/>
      <c r="BE24" s="546"/>
      <c r="BF24" s="547"/>
      <c r="BG24" s="573"/>
      <c r="BH24" s="561"/>
      <c r="BI24" s="561"/>
      <c r="BJ24" s="575"/>
      <c r="BK24" s="570"/>
      <c r="BL24" s="47"/>
      <c r="BM24" s="581"/>
      <c r="BO24" s="117"/>
      <c r="BP24" s="578"/>
    </row>
    <row r="25" spans="1:68" ht="11.25" customHeight="1" x14ac:dyDescent="0.25">
      <c r="A25" s="528"/>
      <c r="B25" s="531"/>
      <c r="C25" s="533" t="str">
        <f>IF(J15="","",J15)</f>
        <v>能登島Ｂ</v>
      </c>
      <c r="D25" s="534"/>
      <c r="E25" s="534"/>
      <c r="F25" s="534"/>
      <c r="G25" s="534"/>
      <c r="H25" s="534"/>
      <c r="I25" s="535"/>
      <c r="J25" s="2"/>
      <c r="K25" s="3"/>
      <c r="L25" s="3"/>
      <c r="M25" s="3"/>
      <c r="N25" s="3"/>
      <c r="O25" s="3"/>
      <c r="P25" s="4"/>
      <c r="Q25" s="543" t="str">
        <f>IF(R24="","",INDEX(記入!$A$7:$Q$62,MATCH(VALUE($A16&amp;Q$3&amp;2),記入!$A$7:$A$62,0),6))</f>
        <v>星稜ｻｯｶｰ場</v>
      </c>
      <c r="R25" s="534"/>
      <c r="S25" s="534"/>
      <c r="T25" s="534"/>
      <c r="U25" s="534"/>
      <c r="V25" s="534"/>
      <c r="W25" s="535"/>
      <c r="X25" s="543" t="str">
        <f>IF(Y24="","",INDEX(記入!$A$7:$Q$62,MATCH(VALUE($A16&amp;X$3&amp;2),記入!$A$7:$A$62,0),6))</f>
        <v>小松市民</v>
      </c>
      <c r="Y25" s="534"/>
      <c r="Z25" s="534"/>
      <c r="AA25" s="534"/>
      <c r="AB25" s="534"/>
      <c r="AC25" s="534"/>
      <c r="AD25" s="535"/>
      <c r="AE25" s="543" t="str">
        <f>IF(AF24="","",INDEX(記入!$A$7:$Q$62,MATCH(VALUE($A16&amp;AE$3&amp;2),記入!$A$7:$A$62,0),6))</f>
        <v>金沢市民</v>
      </c>
      <c r="AF25" s="534"/>
      <c r="AG25" s="534"/>
      <c r="AH25" s="534"/>
      <c r="AI25" s="534"/>
      <c r="AJ25" s="534"/>
      <c r="AK25" s="535"/>
      <c r="AL25" s="543" t="str">
        <f>IF(AM24="","",INDEX(記入!$A$7:$Q$62,MATCH(VALUE($A16&amp;AL$3&amp;2),記入!$A$7:$A$62,0),6))</f>
        <v>星稜ｻｯｶｰ場</v>
      </c>
      <c r="AM25" s="534"/>
      <c r="AN25" s="534"/>
      <c r="AO25" s="534"/>
      <c r="AP25" s="534"/>
      <c r="AQ25" s="534"/>
      <c r="AR25" s="535"/>
      <c r="AS25" s="543" t="str">
        <f>IF(AT24="","",INDEX(記入!$A$7:$Q$62,MATCH(VALUE($A16&amp;AS$3&amp;2),記入!$A$7:$A$62,0),6))</f>
        <v>金沢市民</v>
      </c>
      <c r="AT25" s="534"/>
      <c r="AU25" s="534"/>
      <c r="AV25" s="534"/>
      <c r="AW25" s="534"/>
      <c r="AX25" s="534"/>
      <c r="AY25" s="535"/>
      <c r="AZ25" s="543" t="str">
        <f>IF(BA24="","",INDEX(記入!$A$7:$Q$62,MATCH(VALUE($A16&amp;AZ$3&amp;2),記入!$A$7:$A$62,0),6))</f>
        <v>北陸大FPB</v>
      </c>
      <c r="BA25" s="534"/>
      <c r="BB25" s="534"/>
      <c r="BC25" s="534"/>
      <c r="BD25" s="534"/>
      <c r="BE25" s="534"/>
      <c r="BF25" s="535"/>
      <c r="BG25" s="589"/>
      <c r="BH25" s="562"/>
      <c r="BI25" s="562"/>
      <c r="BJ25" s="584"/>
      <c r="BK25" s="571"/>
      <c r="BL25" s="47"/>
      <c r="BM25" s="582"/>
      <c r="BO25" s="117"/>
      <c r="BP25" s="579"/>
    </row>
    <row r="26" spans="1:68" ht="11.25" customHeight="1" x14ac:dyDescent="0.25">
      <c r="A26" s="528">
        <v>3</v>
      </c>
      <c r="B26" s="529" t="str">
        <f>編成!K4</f>
        <v>星稜中学校</v>
      </c>
      <c r="C26" s="544">
        <f>IF(E28="","",E27+E28)</f>
        <v>0</v>
      </c>
      <c r="D26" s="537"/>
      <c r="E26" s="537"/>
      <c r="F26" s="9" t="str">
        <f>IF(E28="","",IF(C26=G26,"△",IF(C26&gt;G26,"○","●")))</f>
        <v>●</v>
      </c>
      <c r="G26" s="537">
        <f>IF(G28="","",G27+G28)</f>
        <v>5</v>
      </c>
      <c r="H26" s="537"/>
      <c r="I26" s="542"/>
      <c r="J26" s="544">
        <f>IF(L28="","",L27+L28)</f>
        <v>1</v>
      </c>
      <c r="K26" s="537"/>
      <c r="L26" s="537"/>
      <c r="M26" s="9" t="str">
        <f>IF(L28="","",IF(J26=N26,"△",IF(J26&gt;N26,"○","●")))</f>
        <v>○</v>
      </c>
      <c r="N26" s="537">
        <f>IF(N28="","",N27+N28)</f>
        <v>0</v>
      </c>
      <c r="O26" s="537"/>
      <c r="P26" s="542"/>
      <c r="Q26" s="5"/>
      <c r="R26" s="85"/>
      <c r="S26" s="85"/>
      <c r="T26" s="85"/>
      <c r="U26" s="85"/>
      <c r="V26" s="85"/>
      <c r="W26" s="6"/>
      <c r="X26" s="548">
        <f>IF(Z27="","",INDEX(記入!$A$7:$Q$62,MATCH(VALUE($A26&amp;X$3&amp;1),記入!$A$7:$A$62,0),9))</f>
        <v>1</v>
      </c>
      <c r="Y26" s="532"/>
      <c r="Z26" s="532"/>
      <c r="AA26" s="1" t="str">
        <f>IF(Z28="","",IF(X26=AB26,"△",IF(X26&gt;AB26,"○","●")))</f>
        <v>○</v>
      </c>
      <c r="AB26" s="532">
        <f>IF(Z27="","",INDEX(記入!$A$7:$Q$62,MATCH(VALUE($A26&amp;X$3&amp;1),記入!$A$7:$A$62,0),15))</f>
        <v>0</v>
      </c>
      <c r="AC26" s="532"/>
      <c r="AD26" s="539"/>
      <c r="AE26" s="548">
        <f>IF(AG27="","",INDEX(記入!$A$7:$Q$62,MATCH(VALUE($A26&amp;AE$3&amp;1),記入!$A$7:$A$62,0),9))</f>
        <v>2</v>
      </c>
      <c r="AF26" s="532"/>
      <c r="AG26" s="532"/>
      <c r="AH26" s="1" t="str">
        <f>IF(AG28="","",IF(AE26=AI26,"△",IF(AE26&gt;AI26,"○","●")))</f>
        <v>○</v>
      </c>
      <c r="AI26" s="532">
        <f>IF(AG27="","",INDEX(記入!$A$7:$Q$62,MATCH(VALUE($A26&amp;AE$3&amp;1),記入!$A$7:$A$62,0),15))</f>
        <v>1</v>
      </c>
      <c r="AJ26" s="532"/>
      <c r="AK26" s="539"/>
      <c r="AL26" s="548">
        <f>IF(AN27="","",INDEX(記入!$A$7:$Q$62,MATCH(VALUE($A26&amp;AL$3&amp;1),記入!$A$7:$A$62,0),9))</f>
        <v>1</v>
      </c>
      <c r="AM26" s="532"/>
      <c r="AN26" s="532"/>
      <c r="AO26" s="1" t="str">
        <f>IF(AN28="","",IF(AL26=AP26,"△",IF(AL26&gt;AP26,"○","●")))</f>
        <v>●</v>
      </c>
      <c r="AP26" s="532">
        <f>IF(AN27="","",INDEX(記入!$A$7:$Q$62,MATCH(VALUE($A26&amp;AL$3&amp;1),記入!$A$7:$A$62,0),15))</f>
        <v>5</v>
      </c>
      <c r="AQ26" s="532"/>
      <c r="AR26" s="539"/>
      <c r="AS26" s="548">
        <f>IF(AU27="","",INDEX(記入!$A$7:$Q$62,MATCH(VALUE($A26&amp;AS$3&amp;1),記入!$A$7:$A$62,0),9))</f>
        <v>1</v>
      </c>
      <c r="AT26" s="532"/>
      <c r="AU26" s="532"/>
      <c r="AV26" s="1" t="str">
        <f>IF(AU28="","",IF(AS26=AW26,"△",IF(AS26&gt;AW26,"○","●")))</f>
        <v>●</v>
      </c>
      <c r="AW26" s="532">
        <f>IF(AU27="","",INDEX(記入!$A$7:$Q$62,MATCH(VALUE($A26&amp;AS$3&amp;1),記入!$A$7:$A$62,0),15))</f>
        <v>3</v>
      </c>
      <c r="AX26" s="532"/>
      <c r="AY26" s="539"/>
      <c r="AZ26" s="548">
        <f>IF(BB27="","",INDEX(記入!$A$7:$Q$62,MATCH(VALUE($A26&amp;AZ$3&amp;1),記入!$A$7:$A$62,0),9))</f>
        <v>9</v>
      </c>
      <c r="BA26" s="532"/>
      <c r="BB26" s="532"/>
      <c r="BC26" s="1" t="str">
        <f>IF(BB28="","",IF(AZ26=BD26,"△",IF(AZ26&gt;BD26,"○","●")))</f>
        <v>○</v>
      </c>
      <c r="BD26" s="532">
        <f>IF(BB27="","",INDEX(記入!$A$7:$Q$62,MATCH(VALUE($A26&amp;AZ$3&amp;1),記入!$A$7:$A$62,0),15))</f>
        <v>0</v>
      </c>
      <c r="BE26" s="532"/>
      <c r="BF26" s="539"/>
      <c r="BG26" s="588">
        <f>IF(COUNT(C27:BF27)=0,"",COUNTIF(T$6:T$85,"●")*3+COUNTIF(T$6:T$85,"△"))</f>
        <v>21</v>
      </c>
      <c r="BH26" s="560">
        <f>IF(BG26="","",SUM(U$6:U$85)/2)</f>
        <v>29</v>
      </c>
      <c r="BI26" s="560">
        <f>IF(BG26="","",SUM(Q$6:Q$85))</f>
        <v>19</v>
      </c>
      <c r="BJ26" s="583">
        <f>IF(BG26="","",BH26-BI26)</f>
        <v>10</v>
      </c>
      <c r="BK26" s="569">
        <f>IF(BG26="","",RANK(BL26,BL$6:BL$85))</f>
        <v>3</v>
      </c>
      <c r="BL26" s="47">
        <f>IF(BG26="",-ROW()*10000,BG26*10000+BJ26*100+BH26+COUNTIF(C26:BF26,"&gt;=0")/20)</f>
        <v>211029.7</v>
      </c>
      <c r="BM26" s="580">
        <f>RANK(BL26,BL$6:BL$85)</f>
        <v>3</v>
      </c>
      <c r="BN26" s="1">
        <v>21</v>
      </c>
      <c r="BO26" s="118">
        <f>IF(BG26="",-ROW()*10000,BG26*10000+BJ26*100+BH26+COUNTIF(C26:BF26,"&gt;=0")/20-ROW()/1000)</f>
        <v>211029.674</v>
      </c>
      <c r="BP26" s="577">
        <f>RANK(BO26,BO$6:BO$85)</f>
        <v>3</v>
      </c>
    </row>
    <row r="27" spans="1:68" ht="10.5" customHeight="1" x14ac:dyDescent="0.25">
      <c r="A27" s="528"/>
      <c r="B27" s="530"/>
      <c r="C27" s="2"/>
      <c r="D27" s="5"/>
      <c r="E27" s="15">
        <f>IF(U7="","",U7)</f>
        <v>0</v>
      </c>
      <c r="F27" s="3" t="s">
        <v>199</v>
      </c>
      <c r="G27" s="16">
        <f>IF(S7="","",S7)</f>
        <v>2</v>
      </c>
      <c r="H27" s="6"/>
      <c r="I27" s="4"/>
      <c r="J27" s="2"/>
      <c r="K27" s="5"/>
      <c r="L27" s="15">
        <f>IF(U17="","",U17)</f>
        <v>0</v>
      </c>
      <c r="M27" s="3" t="s">
        <v>199</v>
      </c>
      <c r="N27" s="16">
        <f>IF(S17="","",S17)</f>
        <v>0</v>
      </c>
      <c r="O27" s="6"/>
      <c r="P27" s="4"/>
      <c r="Q27" s="2"/>
      <c r="R27" s="3"/>
      <c r="S27" s="3"/>
      <c r="T27" s="3"/>
      <c r="U27" s="3"/>
      <c r="V27" s="3"/>
      <c r="W27" s="4"/>
      <c r="X27" s="2"/>
      <c r="Y27" s="5"/>
      <c r="Z27" s="15">
        <f>IF(Y29="","",IF(INDEX(記入!$A$7:$Q$62,MATCH(VALUE($A26&amp;X$3&amp;1),記入!$A$7:$A$62,0),11)="","",INDEX(記入!$A$7:$Q$62,MATCH(VALUE($A26&amp;X$3&amp;1),記入!$A$7:$A$62,0),11)))</f>
        <v>1</v>
      </c>
      <c r="AA27" s="3" t="s">
        <v>199</v>
      </c>
      <c r="AB27" s="16">
        <f>IF(Z27="","",INDEX(記入!$A$7:$Q$62,MATCH(VALUE($A26&amp;X$3&amp;1),記入!$A$7:$A$62,0),13))</f>
        <v>0</v>
      </c>
      <c r="AC27" s="6"/>
      <c r="AD27" s="4"/>
      <c r="AE27" s="2"/>
      <c r="AF27" s="5"/>
      <c r="AG27" s="15">
        <f>IF(AF29="","",IF(INDEX(記入!$A$7:$Q$62,MATCH(VALUE($A26&amp;AE$3&amp;1),記入!$A$7:$A$62,0),11)="","",INDEX(記入!$A$7:$Q$62,MATCH(VALUE($A26&amp;AE$3&amp;1),記入!$A$7:$A$62,0),11)))</f>
        <v>0</v>
      </c>
      <c r="AH27" s="3" t="s">
        <v>199</v>
      </c>
      <c r="AI27" s="16">
        <f>IF(AG27="","",INDEX(記入!$A$7:$Q$62,MATCH(VALUE($A26&amp;AE$3&amp;1),記入!$A$7:$A$62,0),13))</f>
        <v>0</v>
      </c>
      <c r="AJ27" s="6"/>
      <c r="AK27" s="4"/>
      <c r="AL27" s="2"/>
      <c r="AM27" s="5"/>
      <c r="AN27" s="15">
        <f>IF(AM29="","",IF(INDEX(記入!$A$7:$Q$62,MATCH(VALUE($A26&amp;AL$3&amp;1),記入!$A$7:$A$62,0),11)="","",INDEX(記入!$A$7:$Q$62,MATCH(VALUE($A26&amp;AL$3&amp;1),記入!$A$7:$A$62,0),11)))</f>
        <v>1</v>
      </c>
      <c r="AO27" s="3" t="s">
        <v>199</v>
      </c>
      <c r="AP27" s="16">
        <f>IF(AN27="","",INDEX(記入!$A$7:$Q$62,MATCH(VALUE($A26&amp;AL$3&amp;1),記入!$A$7:$A$62,0),13))</f>
        <v>1</v>
      </c>
      <c r="AQ27" s="6"/>
      <c r="AR27" s="4"/>
      <c r="AS27" s="2"/>
      <c r="AT27" s="5"/>
      <c r="AU27" s="15">
        <f>IF(AT29="","",IF(INDEX(記入!$A$7:$Q$62,MATCH(VALUE($A26&amp;AS$3&amp;1),記入!$A$7:$A$62,0),11)="","",INDEX(記入!$A$7:$Q$62,MATCH(VALUE($A26&amp;AS$3&amp;1),記入!$A$7:$A$62,0),11)))</f>
        <v>0</v>
      </c>
      <c r="AV27" s="3" t="s">
        <v>199</v>
      </c>
      <c r="AW27" s="16">
        <f>IF(AU27="","",INDEX(記入!$A$7:$Q$62,MATCH(VALUE($A26&amp;AS$3&amp;1),記入!$A$7:$A$62,0),13))</f>
        <v>0</v>
      </c>
      <c r="AX27" s="6"/>
      <c r="AY27" s="4"/>
      <c r="AZ27" s="2"/>
      <c r="BA27" s="5"/>
      <c r="BB27" s="15">
        <f>IF(BA29="","",IF(INDEX(記入!$A$7:$Q$62,MATCH(VALUE($A26&amp;AZ$3&amp;1),記入!$A$7:$A$62,0),11)="","",INDEX(記入!$A$7:$Q$62,MATCH(VALUE($A26&amp;AZ$3&amp;1),記入!$A$7:$A$62,0),11)))</f>
        <v>3</v>
      </c>
      <c r="BC27" s="3" t="s">
        <v>199</v>
      </c>
      <c r="BD27" s="16">
        <f>IF(BB27="","",INDEX(記入!$A$7:$Q$62,MATCH(VALUE($A26&amp;AZ$3&amp;1),記入!$A$7:$A$62,0),13))</f>
        <v>0</v>
      </c>
      <c r="BE27" s="6"/>
      <c r="BF27" s="4"/>
      <c r="BG27" s="573"/>
      <c r="BH27" s="561"/>
      <c r="BI27" s="561"/>
      <c r="BJ27" s="575"/>
      <c r="BK27" s="570"/>
      <c r="BL27" s="47"/>
      <c r="BM27" s="581"/>
      <c r="BO27" s="117"/>
      <c r="BP27" s="578"/>
    </row>
    <row r="28" spans="1:68" ht="10.5" customHeight="1" x14ac:dyDescent="0.25">
      <c r="A28" s="528"/>
      <c r="B28" s="530"/>
      <c r="C28" s="2"/>
      <c r="D28" s="7"/>
      <c r="E28" s="15">
        <f>IF(U8="","",U8)</f>
        <v>0</v>
      </c>
      <c r="F28" s="3" t="s">
        <v>199</v>
      </c>
      <c r="G28" s="16">
        <f>IF(S8="","",S8)</f>
        <v>3</v>
      </c>
      <c r="H28" s="8"/>
      <c r="I28" s="4"/>
      <c r="J28" s="2"/>
      <c r="K28" s="7"/>
      <c r="L28" s="15">
        <f>IF(U18="","",U18)</f>
        <v>1</v>
      </c>
      <c r="M28" s="3" t="s">
        <v>199</v>
      </c>
      <c r="N28" s="16">
        <f>IF(S18="","",S18)</f>
        <v>0</v>
      </c>
      <c r="O28" s="8"/>
      <c r="P28" s="4"/>
      <c r="Q28" s="2"/>
      <c r="R28" s="3"/>
      <c r="S28" s="3"/>
      <c r="T28" s="3"/>
      <c r="U28" s="3"/>
      <c r="V28" s="3"/>
      <c r="W28" s="4"/>
      <c r="X28" s="2"/>
      <c r="Y28" s="7"/>
      <c r="Z28" s="15">
        <f>IF(Z27="","",X26-Z27)</f>
        <v>0</v>
      </c>
      <c r="AA28" s="3" t="s">
        <v>199</v>
      </c>
      <c r="AB28" s="16">
        <f>IF(AB27="","",AB26-AB27)</f>
        <v>0</v>
      </c>
      <c r="AC28" s="8"/>
      <c r="AD28" s="4"/>
      <c r="AE28" s="2"/>
      <c r="AF28" s="7"/>
      <c r="AG28" s="15">
        <f>IF(AG27="","",AE26-AG27)</f>
        <v>2</v>
      </c>
      <c r="AH28" s="3" t="s">
        <v>199</v>
      </c>
      <c r="AI28" s="16">
        <f>IF(AI27="","",AI26-AI27)</f>
        <v>1</v>
      </c>
      <c r="AJ28" s="8"/>
      <c r="AK28" s="4"/>
      <c r="AL28" s="2"/>
      <c r="AM28" s="7"/>
      <c r="AN28" s="15">
        <f>IF(AN27="","",AL26-AN27)</f>
        <v>0</v>
      </c>
      <c r="AO28" s="3" t="s">
        <v>199</v>
      </c>
      <c r="AP28" s="16">
        <f>IF(AP27="","",AP26-AP27)</f>
        <v>4</v>
      </c>
      <c r="AQ28" s="8"/>
      <c r="AR28" s="4"/>
      <c r="AS28" s="2"/>
      <c r="AT28" s="7"/>
      <c r="AU28" s="15">
        <f>IF(AU27="","",AS26-AU27)</f>
        <v>1</v>
      </c>
      <c r="AV28" s="3" t="s">
        <v>199</v>
      </c>
      <c r="AW28" s="16">
        <f>IF(AW27="","",AW26-AW27)</f>
        <v>3</v>
      </c>
      <c r="AX28" s="8"/>
      <c r="AY28" s="4"/>
      <c r="AZ28" s="2"/>
      <c r="BA28" s="7"/>
      <c r="BB28" s="15">
        <f>IF(BB27="","",AZ26-BB27)</f>
        <v>6</v>
      </c>
      <c r="BC28" s="3" t="s">
        <v>199</v>
      </c>
      <c r="BD28" s="16">
        <f>IF(BD27="","",BD26-BD27)</f>
        <v>0</v>
      </c>
      <c r="BE28" s="8"/>
      <c r="BF28" s="4"/>
      <c r="BG28" s="573"/>
      <c r="BH28" s="561"/>
      <c r="BI28" s="561"/>
      <c r="BJ28" s="575"/>
      <c r="BK28" s="570"/>
      <c r="BL28" s="47"/>
      <c r="BM28" s="581"/>
      <c r="BO28" s="117"/>
      <c r="BP28" s="578"/>
    </row>
    <row r="29" spans="1:68" ht="11.25" customHeight="1" x14ac:dyDescent="0.25">
      <c r="A29" s="528"/>
      <c r="B29" s="530"/>
      <c r="C29" s="51"/>
      <c r="D29" s="532" t="str">
        <f>IF(C30="","",R9)</f>
        <v>⑥</v>
      </c>
      <c r="E29" s="532"/>
      <c r="F29" s="540">
        <f>IF(C30="","",T9)</f>
        <v>42526</v>
      </c>
      <c r="G29" s="540"/>
      <c r="H29" s="540"/>
      <c r="I29" s="541"/>
      <c r="J29" s="51"/>
      <c r="K29" s="532" t="str">
        <f>IF(J30="","",R19)</f>
        <v>⑦</v>
      </c>
      <c r="L29" s="532"/>
      <c r="M29" s="540">
        <f>IF(J30="","",T19)</f>
        <v>42546</v>
      </c>
      <c r="N29" s="540"/>
      <c r="O29" s="540"/>
      <c r="P29" s="541"/>
      <c r="Q29" s="2"/>
      <c r="R29" s="3"/>
      <c r="S29" s="3"/>
      <c r="T29" s="3"/>
      <c r="U29" s="3"/>
      <c r="V29" s="3"/>
      <c r="W29" s="4"/>
      <c r="X29" s="80"/>
      <c r="Y29" s="532" t="str">
        <f>IF(COUNT(MATCH(VALUE($A26&amp;X$3&amp;1),記入!$A$7:$A$62,0))=0,"",INDEX(記入!$A$7:$Q$62,MATCH(VALUE($A26&amp;X$3&amp;1),記入!$A$7:$A$62,0),3))</f>
        <v>①</v>
      </c>
      <c r="Z29" s="532"/>
      <c r="AA29" s="546">
        <f>IF(Y29="","",INDEX(記入!$A$7:$Q$62,MATCH(VALUE($A26&amp;X$3&amp;1),記入!$A$7:$A$62,0),4))</f>
        <v>42489</v>
      </c>
      <c r="AB29" s="546"/>
      <c r="AC29" s="546"/>
      <c r="AD29" s="547"/>
      <c r="AE29" s="80"/>
      <c r="AF29" s="532" t="str">
        <f>IF(COUNT(MATCH(VALUE($A26&amp;AE$3&amp;1),記入!$A$7:$A$62,0))=0,"",INDEX(記入!$A$7:$Q$62,MATCH(VALUE($A26&amp;AE$3&amp;1),記入!$A$7:$A$62,0),3))</f>
        <v>③</v>
      </c>
      <c r="AG29" s="532"/>
      <c r="AH29" s="546">
        <f>IF(AF29="","",INDEX(記入!$A$7:$Q$62,MATCH(VALUE($A26&amp;AE$3&amp;1),記入!$A$7:$A$62,0),4))</f>
        <v>42498</v>
      </c>
      <c r="AI29" s="546"/>
      <c r="AJ29" s="546"/>
      <c r="AK29" s="547"/>
      <c r="AL29" s="80"/>
      <c r="AM29" s="532" t="str">
        <f>IF(COUNT(MATCH(VALUE($A26&amp;AL$3&amp;1),記入!$A$7:$A$62,0))=0,"",INDEX(記入!$A$7:$Q$62,MATCH(VALUE($A26&amp;AL$3&amp;1),記入!$A$7:$A$62,0),3))</f>
        <v>⑥</v>
      </c>
      <c r="AN29" s="532"/>
      <c r="AO29" s="546">
        <f>IF(AM29="","",INDEX(記入!$A$7:$Q$62,MATCH(VALUE($A26&amp;AL$3&amp;1),記入!$A$7:$A$62,0),4))</f>
        <v>42519</v>
      </c>
      <c r="AP29" s="546"/>
      <c r="AQ29" s="546"/>
      <c r="AR29" s="547"/>
      <c r="AS29" s="80"/>
      <c r="AT29" s="532" t="str">
        <f>IF(COUNT(MATCH(VALUE($A26&amp;AS$3&amp;1),記入!$A$7:$A$62,0))=0,"",INDEX(記入!$A$7:$Q$62,MATCH(VALUE($A26&amp;AS$3&amp;1),記入!$A$7:$A$62,0),3))</f>
        <v>②</v>
      </c>
      <c r="AU29" s="532"/>
      <c r="AV29" s="546">
        <f>IF(AT29="","",INDEX(記入!$A$7:$Q$62,MATCH(VALUE($A26&amp;AS$3&amp;1),記入!$A$7:$A$62,0),4))</f>
        <v>42493</v>
      </c>
      <c r="AW29" s="546"/>
      <c r="AX29" s="546"/>
      <c r="AY29" s="547"/>
      <c r="AZ29" s="80"/>
      <c r="BA29" s="532" t="str">
        <f>IF(COUNT(MATCH(VALUE($A26&amp;AZ$3&amp;1),記入!$A$7:$A$62,0))=0,"",INDEX(記入!$A$7:$Q$62,MATCH(VALUE($A26&amp;AZ$3&amp;1),記入!$A$7:$A$62,0),3))</f>
        <v>⑦</v>
      </c>
      <c r="BB29" s="532"/>
      <c r="BC29" s="546">
        <f>IF(BA29="","",INDEX(記入!$A$7:$Q$62,MATCH(VALUE($A26&amp;AZ$3&amp;1),記入!$A$7:$A$62,0),4))</f>
        <v>42560</v>
      </c>
      <c r="BD29" s="546"/>
      <c r="BE29" s="546"/>
      <c r="BF29" s="547"/>
      <c r="BG29" s="573"/>
      <c r="BH29" s="561"/>
      <c r="BI29" s="561"/>
      <c r="BJ29" s="575"/>
      <c r="BK29" s="570"/>
      <c r="BL29" s="47"/>
      <c r="BM29" s="581"/>
      <c r="BO29" s="117"/>
      <c r="BP29" s="578"/>
    </row>
    <row r="30" spans="1:68" ht="11.25" customHeight="1" x14ac:dyDescent="0.25">
      <c r="A30" s="528"/>
      <c r="B30" s="530"/>
      <c r="C30" s="543" t="str">
        <f>IF(Q10="","",Q10)</f>
        <v>星稜ｻｯｶｰ場</v>
      </c>
      <c r="D30" s="534"/>
      <c r="E30" s="534"/>
      <c r="F30" s="534"/>
      <c r="G30" s="534"/>
      <c r="H30" s="534"/>
      <c r="I30" s="535"/>
      <c r="J30" s="543" t="str">
        <f>IF(Q20="","",Q20)</f>
        <v>能登島Ｂ</v>
      </c>
      <c r="K30" s="534"/>
      <c r="L30" s="534"/>
      <c r="M30" s="534"/>
      <c r="N30" s="534"/>
      <c r="O30" s="534"/>
      <c r="P30" s="535"/>
      <c r="Q30" s="2"/>
      <c r="R30" s="3"/>
      <c r="S30" s="3"/>
      <c r="T30" s="3"/>
      <c r="U30" s="3"/>
      <c r="V30" s="3"/>
      <c r="W30" s="4"/>
      <c r="X30" s="548" t="str">
        <f>IF(Y29="","",INDEX(記入!$A$7:$Q$62,MATCH(VALUE($A26&amp;X$3&amp;1),記入!$A$7:$A$62,0),6))</f>
        <v>星稜ｻｯｶｰ場</v>
      </c>
      <c r="Y30" s="532"/>
      <c r="Z30" s="532"/>
      <c r="AA30" s="532"/>
      <c r="AB30" s="532"/>
      <c r="AC30" s="532"/>
      <c r="AD30" s="539"/>
      <c r="AE30" s="548" t="str">
        <f>IF(AF29="","",INDEX(記入!$A$7:$Q$62,MATCH(VALUE($A26&amp;AE$3&amp;1),記入!$A$7:$A$62,0),6))</f>
        <v>金沢交流</v>
      </c>
      <c r="AF30" s="532"/>
      <c r="AG30" s="532"/>
      <c r="AH30" s="532"/>
      <c r="AI30" s="532"/>
      <c r="AJ30" s="532"/>
      <c r="AK30" s="539"/>
      <c r="AL30" s="548" t="str">
        <f>IF(AM29="","",INDEX(記入!$A$7:$Q$62,MATCH(VALUE($A26&amp;AL$3&amp;1),記入!$A$7:$A$62,0),6))</f>
        <v>星稜ｻｯｶｰ場</v>
      </c>
      <c r="AM30" s="532"/>
      <c r="AN30" s="532"/>
      <c r="AO30" s="532"/>
      <c r="AP30" s="532"/>
      <c r="AQ30" s="532"/>
      <c r="AR30" s="539"/>
      <c r="AS30" s="548" t="str">
        <f>IF(AT29="","",INDEX(記入!$A$7:$Q$62,MATCH(VALUE($A26&amp;AS$3&amp;1),記入!$A$7:$A$62,0),6))</f>
        <v>金沢交流</v>
      </c>
      <c r="AT30" s="532"/>
      <c r="AU30" s="532"/>
      <c r="AV30" s="532"/>
      <c r="AW30" s="532"/>
      <c r="AX30" s="532"/>
      <c r="AY30" s="539"/>
      <c r="AZ30" s="548" t="str">
        <f>IF(BA29="","",INDEX(記入!$A$7:$Q$62,MATCH(VALUE($A26&amp;AZ$3&amp;1),記入!$A$7:$A$62,0),6))</f>
        <v>星稜ｻｯｶｰ場</v>
      </c>
      <c r="BA30" s="532"/>
      <c r="BB30" s="532"/>
      <c r="BC30" s="532"/>
      <c r="BD30" s="532"/>
      <c r="BE30" s="532"/>
      <c r="BF30" s="539"/>
      <c r="BG30" s="573"/>
      <c r="BH30" s="561"/>
      <c r="BI30" s="561"/>
      <c r="BJ30" s="575"/>
      <c r="BK30" s="570"/>
      <c r="BL30" s="47"/>
      <c r="BM30" s="581"/>
      <c r="BO30" s="117"/>
      <c r="BP30" s="578"/>
    </row>
    <row r="31" spans="1:68" ht="11.25" customHeight="1" x14ac:dyDescent="0.25">
      <c r="A31" s="528"/>
      <c r="B31" s="530"/>
      <c r="C31" s="544" t="str">
        <f>IF(E33="","",E32+E33)</f>
        <v/>
      </c>
      <c r="D31" s="537"/>
      <c r="E31" s="537"/>
      <c r="F31" s="9" t="str">
        <f>IF(E33="","",IF(C31=G31,"△",IF(C31&gt;G31,"○","●")))</f>
        <v/>
      </c>
      <c r="G31" s="537" t="str">
        <f>IF(G33="","",G32+G33)</f>
        <v/>
      </c>
      <c r="H31" s="537"/>
      <c r="I31" s="542"/>
      <c r="J31" s="544" t="str">
        <f>IF(L33="","",L32+L33)</f>
        <v/>
      </c>
      <c r="K31" s="537"/>
      <c r="L31" s="537"/>
      <c r="M31" s="9" t="str">
        <f>IF(L33="","",IF(J31=N31,"△",IF(J31&gt;N31,"○","●")))</f>
        <v/>
      </c>
      <c r="N31" s="537" t="str">
        <f>IF(N33="","",N32+N33)</f>
        <v/>
      </c>
      <c r="O31" s="537"/>
      <c r="P31" s="542"/>
      <c r="Q31" s="2"/>
      <c r="R31" s="3"/>
      <c r="S31" s="3"/>
      <c r="T31" s="3"/>
      <c r="U31" s="3"/>
      <c r="V31" s="3"/>
      <c r="W31" s="4"/>
      <c r="X31" s="544">
        <f>IF(Z32="","",INDEX(記入!$A$7:$Q$62,MATCH(VALUE($A26&amp;X$3&amp;2),記入!$A$7:$A$62,0),9))</f>
        <v>3</v>
      </c>
      <c r="Y31" s="537"/>
      <c r="Z31" s="537"/>
      <c r="AA31" s="9" t="str">
        <f>IF(Z33="","",IF(X31=AB31,"△",IF(X31&gt;AB31,"○","●")))</f>
        <v>○</v>
      </c>
      <c r="AB31" s="537">
        <f>IF(Z32="","",INDEX(記入!$A$7:$Q$62,MATCH(VALUE($A26&amp;X$3&amp;2),記入!$A$7:$A$62,0),15))</f>
        <v>1</v>
      </c>
      <c r="AC31" s="537"/>
      <c r="AD31" s="542"/>
      <c r="AE31" s="544">
        <f>IF(AG32="","",INDEX(記入!$A$7:$Q$62,MATCH(VALUE($A26&amp;AE$3&amp;2),記入!$A$7:$A$62,0),9))</f>
        <v>3</v>
      </c>
      <c r="AF31" s="537"/>
      <c r="AG31" s="537"/>
      <c r="AH31" s="9" t="str">
        <f>IF(AG33="","",IF(AE31=AI31,"△",IF(AE31&gt;AI31,"○","●")))</f>
        <v>○</v>
      </c>
      <c r="AI31" s="537">
        <f>IF(AG32="","",INDEX(記入!$A$7:$Q$62,MATCH(VALUE($A26&amp;AE$3&amp;2),記入!$A$7:$A$62,0),15))</f>
        <v>1</v>
      </c>
      <c r="AJ31" s="537"/>
      <c r="AK31" s="542"/>
      <c r="AL31" s="544">
        <f>IF(AN32="","",INDEX(記入!$A$7:$Q$62,MATCH(VALUE($A26&amp;AL$3&amp;2),記入!$A$7:$A$62,0),9))</f>
        <v>0</v>
      </c>
      <c r="AM31" s="537"/>
      <c r="AN31" s="537"/>
      <c r="AO31" s="9" t="str">
        <f>IF(AN33="","",IF(AL31=AP31,"△",IF(AL31&gt;AP31,"○","●")))</f>
        <v>●</v>
      </c>
      <c r="AP31" s="537">
        <f>IF(AN32="","",INDEX(記入!$A$7:$Q$62,MATCH(VALUE($A26&amp;AL$3&amp;2),記入!$A$7:$A$62,0),15))</f>
        <v>2</v>
      </c>
      <c r="AQ31" s="537"/>
      <c r="AR31" s="542"/>
      <c r="AS31" s="544" t="str">
        <f>IF(AU32="","",INDEX(記入!$A$7:$Q$62,MATCH(VALUE($A26&amp;AS$3&amp;2),記入!$A$7:$A$62,0),9))</f>
        <v/>
      </c>
      <c r="AT31" s="537"/>
      <c r="AU31" s="537"/>
      <c r="AV31" s="9" t="str">
        <f>IF(AU33="","",IF(AS31=AW31,"△",IF(AS31&gt;AW31,"○","●")))</f>
        <v/>
      </c>
      <c r="AW31" s="537" t="str">
        <f>IF(AU32="","",INDEX(記入!$A$7:$Q$62,MATCH(VALUE($A26&amp;AS$3&amp;2),記入!$A$7:$A$62,0),15))</f>
        <v/>
      </c>
      <c r="AX31" s="537"/>
      <c r="AY31" s="542"/>
      <c r="AZ31" s="544">
        <f>IF(BB32="","",INDEX(記入!$A$7:$Q$62,MATCH(VALUE($A26&amp;AZ$3&amp;2),記入!$A$7:$A$62,0),9))</f>
        <v>8</v>
      </c>
      <c r="BA31" s="537"/>
      <c r="BB31" s="537"/>
      <c r="BC31" s="9" t="str">
        <f>IF(BB33="","",IF(AZ31=BD31,"△",IF(AZ31&gt;BD31,"○","●")))</f>
        <v>○</v>
      </c>
      <c r="BD31" s="537">
        <f>IF(BB32="","",INDEX(記入!$A$7:$Q$62,MATCH(VALUE($A26&amp;AZ$3&amp;2),記入!$A$7:$A$62,0),15))</f>
        <v>1</v>
      </c>
      <c r="BE31" s="537"/>
      <c r="BF31" s="542"/>
      <c r="BG31" s="573"/>
      <c r="BH31" s="561"/>
      <c r="BI31" s="561"/>
      <c r="BJ31" s="575"/>
      <c r="BK31" s="570"/>
      <c r="BL31" s="47"/>
      <c r="BM31" s="581"/>
      <c r="BO31" s="117"/>
      <c r="BP31" s="578"/>
    </row>
    <row r="32" spans="1:68" ht="11.25" customHeight="1" x14ac:dyDescent="0.25">
      <c r="A32" s="528"/>
      <c r="B32" s="530"/>
      <c r="C32" s="2"/>
      <c r="D32" s="5"/>
      <c r="E32" s="15" t="str">
        <f>IF(U12="","",U12)</f>
        <v/>
      </c>
      <c r="F32" s="3" t="s">
        <v>199</v>
      </c>
      <c r="G32" s="16" t="str">
        <f>IF(S12="","",S12)</f>
        <v/>
      </c>
      <c r="H32" s="6"/>
      <c r="I32" s="4"/>
      <c r="J32" s="2"/>
      <c r="K32" s="5"/>
      <c r="L32" s="15" t="str">
        <f>IF(U22="","",U22)</f>
        <v/>
      </c>
      <c r="M32" s="3" t="s">
        <v>199</v>
      </c>
      <c r="N32" s="16" t="str">
        <f>IF(S22="","",S22)</f>
        <v/>
      </c>
      <c r="O32" s="6"/>
      <c r="P32" s="4"/>
      <c r="Q32" s="2"/>
      <c r="R32" s="3"/>
      <c r="S32" s="3"/>
      <c r="T32" s="3"/>
      <c r="U32" s="3"/>
      <c r="V32" s="3"/>
      <c r="W32" s="4"/>
      <c r="X32" s="2"/>
      <c r="Y32" s="5"/>
      <c r="Z32" s="15">
        <f>IF(Y34="","",IF(INDEX(記入!$A$7:$Q$62,MATCH(VALUE($A26&amp;X$3&amp;2),記入!$A$7:$A$62,0),11)="","",INDEX(記入!$A$7:$Q$62,MATCH(VALUE($A26&amp;X$3&amp;2),記入!$A$7:$A$62,0),11)))</f>
        <v>1</v>
      </c>
      <c r="AA32" s="3" t="s">
        <v>199</v>
      </c>
      <c r="AB32" s="16">
        <f>IF(Z32="","",INDEX(記入!$A$7:$Q$62,MATCH(VALUE($A26&amp;X$3&amp;2),記入!$A$7:$A$62,0),13))</f>
        <v>1</v>
      </c>
      <c r="AC32" s="6"/>
      <c r="AD32" s="4"/>
      <c r="AE32" s="2"/>
      <c r="AF32" s="5"/>
      <c r="AG32" s="15">
        <f>IF(AF34="","",IF(INDEX(記入!$A$7:$Q$62,MATCH(VALUE($A26&amp;AE$3&amp;2),記入!$A$7:$A$62,0),11)="","",INDEX(記入!$A$7:$Q$62,MATCH(VALUE($A26&amp;AE$3&amp;2),記入!$A$7:$A$62,0),11)))</f>
        <v>2</v>
      </c>
      <c r="AH32" s="3" t="s">
        <v>199</v>
      </c>
      <c r="AI32" s="16">
        <f>IF(AG32="","",INDEX(記入!$A$7:$Q$62,MATCH(VALUE($A26&amp;AE$3&amp;2),記入!$A$7:$A$62,0),13))</f>
        <v>0</v>
      </c>
      <c r="AJ32" s="6"/>
      <c r="AK32" s="4"/>
      <c r="AL32" s="2"/>
      <c r="AM32" s="5"/>
      <c r="AN32" s="15">
        <f>IF(AM34="","",IF(INDEX(記入!$A$7:$Q$62,MATCH(VALUE($A26&amp;AL$3&amp;2),記入!$A$7:$A$62,0),11)="","",INDEX(記入!$A$7:$Q$62,MATCH(VALUE($A26&amp;AL$3&amp;2),記入!$A$7:$A$62,0),11)))</f>
        <v>0</v>
      </c>
      <c r="AO32" s="3" t="s">
        <v>199</v>
      </c>
      <c r="AP32" s="16">
        <f>IF(AN32="","",INDEX(記入!$A$7:$Q$62,MATCH(VALUE($A26&amp;AL$3&amp;2),記入!$A$7:$A$62,0),13))</f>
        <v>1</v>
      </c>
      <c r="AQ32" s="6"/>
      <c r="AR32" s="4"/>
      <c r="AS32" s="2"/>
      <c r="AT32" s="5"/>
      <c r="AU32" s="15" t="str">
        <f>IF(AT34="","",IF(INDEX(記入!$A$7:$Q$62,MATCH(VALUE($A26&amp;AS$3&amp;2),記入!$A$7:$A$62,0),11)="","",INDEX(記入!$A$7:$Q$62,MATCH(VALUE($A26&amp;AS$3&amp;2),記入!$A$7:$A$62,0),11)))</f>
        <v/>
      </c>
      <c r="AV32" s="3" t="s">
        <v>199</v>
      </c>
      <c r="AW32" s="16" t="str">
        <f>IF(AU32="","",INDEX(記入!$A$7:$Q$62,MATCH(VALUE($A26&amp;AS$3&amp;2),記入!$A$7:$A$62,0),13))</f>
        <v/>
      </c>
      <c r="AX32" s="6"/>
      <c r="AY32" s="4"/>
      <c r="AZ32" s="2"/>
      <c r="BA32" s="5"/>
      <c r="BB32" s="15">
        <f>IF(BA34="","",IF(INDEX(記入!$A$7:$Q$62,MATCH(VALUE($A26&amp;AZ$3&amp;2),記入!$A$7:$A$62,0),11)="","",INDEX(記入!$A$7:$Q$62,MATCH(VALUE($A26&amp;AZ$3&amp;2),記入!$A$7:$A$62,0),11)))</f>
        <v>5</v>
      </c>
      <c r="BC32" s="3" t="s">
        <v>199</v>
      </c>
      <c r="BD32" s="16">
        <f>IF(BB32="","",INDEX(記入!$A$7:$Q$62,MATCH(VALUE($A26&amp;AZ$3&amp;2),記入!$A$7:$A$62,0),13))</f>
        <v>1</v>
      </c>
      <c r="BE32" s="6"/>
      <c r="BF32" s="4"/>
      <c r="BG32" s="573"/>
      <c r="BH32" s="561"/>
      <c r="BI32" s="561"/>
      <c r="BJ32" s="575"/>
      <c r="BK32" s="570"/>
      <c r="BL32" s="47"/>
      <c r="BM32" s="581"/>
      <c r="BO32" s="117"/>
      <c r="BP32" s="578"/>
    </row>
    <row r="33" spans="1:68" ht="11.25" customHeight="1" x14ac:dyDescent="0.25">
      <c r="A33" s="528"/>
      <c r="B33" s="530"/>
      <c r="C33" s="2"/>
      <c r="D33" s="7"/>
      <c r="E33" s="15" t="str">
        <f>IF(U13="","",U13)</f>
        <v/>
      </c>
      <c r="F33" s="3" t="s">
        <v>199</v>
      </c>
      <c r="G33" s="16" t="str">
        <f>IF(S13="","",S13)</f>
        <v/>
      </c>
      <c r="H33" s="8"/>
      <c r="I33" s="4"/>
      <c r="J33" s="2"/>
      <c r="K33" s="7"/>
      <c r="L33" s="15" t="str">
        <f>IF(U23="","",U23)</f>
        <v/>
      </c>
      <c r="M33" s="3" t="s">
        <v>199</v>
      </c>
      <c r="N33" s="16" t="str">
        <f>IF(S23="","",S23)</f>
        <v/>
      </c>
      <c r="O33" s="8"/>
      <c r="P33" s="4"/>
      <c r="Q33" s="2"/>
      <c r="R33" s="3"/>
      <c r="S33" s="3"/>
      <c r="T33" s="3"/>
      <c r="U33" s="3"/>
      <c r="V33" s="3"/>
      <c r="W33" s="4"/>
      <c r="X33" s="2"/>
      <c r="Y33" s="7"/>
      <c r="Z33" s="15">
        <f>IF(Z32="","",X31-Z32)</f>
        <v>2</v>
      </c>
      <c r="AA33" s="3" t="s">
        <v>199</v>
      </c>
      <c r="AB33" s="16">
        <f>IF(AB32="","",AB31-AB32)</f>
        <v>0</v>
      </c>
      <c r="AC33" s="8"/>
      <c r="AD33" s="4"/>
      <c r="AE33" s="2"/>
      <c r="AF33" s="7"/>
      <c r="AG33" s="15">
        <f>IF(AG32="","",AE31-AG32)</f>
        <v>1</v>
      </c>
      <c r="AH33" s="3" t="s">
        <v>199</v>
      </c>
      <c r="AI33" s="16">
        <f>IF(AI32="","",AI31-AI32)</f>
        <v>1</v>
      </c>
      <c r="AJ33" s="8"/>
      <c r="AK33" s="4"/>
      <c r="AL33" s="2"/>
      <c r="AM33" s="7"/>
      <c r="AN33" s="15">
        <f>IF(AN32="","",AL31-AN32)</f>
        <v>0</v>
      </c>
      <c r="AO33" s="3" t="s">
        <v>199</v>
      </c>
      <c r="AP33" s="16">
        <f>IF(AP32="","",AP31-AP32)</f>
        <v>1</v>
      </c>
      <c r="AQ33" s="8"/>
      <c r="AR33" s="4"/>
      <c r="AS33" s="2"/>
      <c r="AT33" s="7"/>
      <c r="AU33" s="15" t="str">
        <f>IF(AU32="","",AS31-AU32)</f>
        <v/>
      </c>
      <c r="AV33" s="3" t="s">
        <v>199</v>
      </c>
      <c r="AW33" s="16" t="str">
        <f>IF(AW32="","",AW31-AW32)</f>
        <v/>
      </c>
      <c r="AX33" s="8"/>
      <c r="AY33" s="4"/>
      <c r="AZ33" s="2"/>
      <c r="BA33" s="7"/>
      <c r="BB33" s="15">
        <f>IF(BB32="","",AZ31-BB32)</f>
        <v>3</v>
      </c>
      <c r="BC33" s="3" t="s">
        <v>199</v>
      </c>
      <c r="BD33" s="16">
        <f>IF(BD32="","",BD31-BD32)</f>
        <v>0</v>
      </c>
      <c r="BE33" s="8"/>
      <c r="BF33" s="4"/>
      <c r="BG33" s="573"/>
      <c r="BH33" s="561"/>
      <c r="BI33" s="561"/>
      <c r="BJ33" s="575"/>
      <c r="BK33" s="570"/>
      <c r="BL33" s="47"/>
      <c r="BM33" s="581"/>
      <c r="BO33" s="117"/>
      <c r="BP33" s="578"/>
    </row>
    <row r="34" spans="1:68" ht="11.25" customHeight="1" x14ac:dyDescent="0.25">
      <c r="A34" s="528"/>
      <c r="B34" s="530"/>
      <c r="C34" s="51"/>
      <c r="D34" s="532" t="str">
        <f>IF(C35="","",R14)</f>
        <v>②</v>
      </c>
      <c r="E34" s="532"/>
      <c r="F34" s="540">
        <f>IF(C35="","",T14)</f>
        <v>42673</v>
      </c>
      <c r="G34" s="540"/>
      <c r="H34" s="540"/>
      <c r="I34" s="541"/>
      <c r="J34" s="51"/>
      <c r="K34" s="532" t="str">
        <f>IF(J35="","",R24)</f>
        <v>②</v>
      </c>
      <c r="L34" s="532"/>
      <c r="M34" s="540">
        <f>IF(J35="","",T24)</f>
        <v>42677</v>
      </c>
      <c r="N34" s="540"/>
      <c r="O34" s="540"/>
      <c r="P34" s="541"/>
      <c r="Q34" s="2"/>
      <c r="R34" s="3"/>
      <c r="S34" s="3"/>
      <c r="T34" s="3"/>
      <c r="U34" s="3"/>
      <c r="V34" s="3"/>
      <c r="W34" s="4"/>
      <c r="X34" s="80"/>
      <c r="Y34" s="532" t="str">
        <f>IF(COUNT(MATCH(VALUE($A26&amp;X$3&amp;2),記入!$A$7:$A$62,0))=0,"",INDEX(記入!$A$7:$Q$62,MATCH(VALUE($A26&amp;X$3&amp;2),記入!$A$7:$A$62,0),3))</f>
        <v>②</v>
      </c>
      <c r="Z34" s="532"/>
      <c r="AA34" s="546">
        <f>IF(Y34="","",INDEX(記入!$A$7:$Q$62,MATCH(VALUE($A26&amp;X$3&amp;2),記入!$A$7:$A$62,0),4))</f>
        <v>42624</v>
      </c>
      <c r="AB34" s="546"/>
      <c r="AC34" s="546"/>
      <c r="AD34" s="547"/>
      <c r="AE34" s="80"/>
      <c r="AF34" s="532" t="str">
        <f>IF(COUNT(MATCH(VALUE($A26&amp;AE$3&amp;2),記入!$A$7:$A$62,0))=0,"",INDEX(記入!$A$7:$Q$62,MATCH(VALUE($A26&amp;AE$3&amp;2),記入!$A$7:$A$62,0),3))</f>
        <v>②</v>
      </c>
      <c r="AG34" s="532"/>
      <c r="AH34" s="546">
        <f>IF(AF34="","",INDEX(記入!$A$7:$Q$62,MATCH(VALUE($A26&amp;AE$3&amp;2),記入!$A$7:$A$62,0),4))</f>
        <v>42645</v>
      </c>
      <c r="AI34" s="546"/>
      <c r="AJ34" s="546"/>
      <c r="AK34" s="547"/>
      <c r="AL34" s="80"/>
      <c r="AM34" s="532" t="str">
        <f>IF(COUNT(MATCH(VALUE($A26&amp;AL$3&amp;2),記入!$A$7:$A$62,0))=0,"",INDEX(記入!$A$7:$Q$62,MATCH(VALUE($A26&amp;AL$3&amp;2),記入!$A$7:$A$62,0),3))</f>
        <v>⑧</v>
      </c>
      <c r="AN34" s="532"/>
      <c r="AO34" s="546">
        <f>IF(AM34="","",INDEX(記入!$A$7:$Q$62,MATCH(VALUE($A26&amp;AL$3&amp;2),記入!$A$7:$A$62,0),4))</f>
        <v>42574</v>
      </c>
      <c r="AP34" s="546"/>
      <c r="AQ34" s="546"/>
      <c r="AR34" s="547"/>
      <c r="AS34" s="80"/>
      <c r="AT34" s="532" t="str">
        <f>IF(COUNT(MATCH(VALUE($A26&amp;AS$3&amp;2),記入!$A$7:$A$62,0))=0,"",INDEX(記入!$A$7:$Q$62,MATCH(VALUE($A26&amp;AS$3&amp;2),記入!$A$7:$A$62,0),3))</f>
        <v>②</v>
      </c>
      <c r="AU34" s="532"/>
      <c r="AV34" s="546">
        <f>IF(AT34="","",INDEX(記入!$A$7:$Q$62,MATCH(VALUE($A26&amp;AS$3&amp;2),記入!$A$7:$A$62,0),4))</f>
        <v>42659</v>
      </c>
      <c r="AW34" s="546"/>
      <c r="AX34" s="546"/>
      <c r="AY34" s="547"/>
      <c r="AZ34" s="80"/>
      <c r="BA34" s="532" t="str">
        <f>IF(COUNT(MATCH(VALUE($A26&amp;AZ$3&amp;2),記入!$A$7:$A$62,0))=0,"",INDEX(記入!$A$7:$Q$62,MATCH(VALUE($A26&amp;AZ$3&amp;2),記入!$A$7:$A$62,0),3))</f>
        <v>②</v>
      </c>
      <c r="BB34" s="532"/>
      <c r="BC34" s="546">
        <f>IF(BA34="","",INDEX(記入!$A$7:$Q$62,MATCH(VALUE($A26&amp;AZ$3&amp;2),記入!$A$7:$A$62,0),4))</f>
        <v>42617</v>
      </c>
      <c r="BD34" s="546"/>
      <c r="BE34" s="546"/>
      <c r="BF34" s="547"/>
      <c r="BG34" s="573"/>
      <c r="BH34" s="561"/>
      <c r="BI34" s="561"/>
      <c r="BJ34" s="575"/>
      <c r="BK34" s="570"/>
      <c r="BL34" s="47"/>
      <c r="BM34" s="581"/>
      <c r="BO34" s="117"/>
      <c r="BP34" s="578"/>
    </row>
    <row r="35" spans="1:68" ht="11.25" customHeight="1" x14ac:dyDescent="0.25">
      <c r="A35" s="528"/>
      <c r="B35" s="531"/>
      <c r="C35" s="543" t="str">
        <f>IF(Q15="","",Q15)</f>
        <v>星稜ｻｯｶｰ場</v>
      </c>
      <c r="D35" s="534"/>
      <c r="E35" s="534"/>
      <c r="F35" s="534"/>
      <c r="G35" s="534"/>
      <c r="H35" s="534"/>
      <c r="I35" s="535"/>
      <c r="J35" s="543" t="str">
        <f>IF(Q25="","",Q25)</f>
        <v>星稜ｻｯｶｰ場</v>
      </c>
      <c r="K35" s="534"/>
      <c r="L35" s="534"/>
      <c r="M35" s="534"/>
      <c r="N35" s="534"/>
      <c r="O35" s="534"/>
      <c r="P35" s="535"/>
      <c r="Q35" s="2"/>
      <c r="R35" s="3"/>
      <c r="S35" s="3"/>
      <c r="T35" s="3"/>
      <c r="U35" s="3"/>
      <c r="V35" s="3"/>
      <c r="W35" s="4"/>
      <c r="X35" s="543" t="str">
        <f>IF(Y34="","",INDEX(記入!$A$7:$Q$62,MATCH(VALUE($A26&amp;X$3&amp;2),記入!$A$7:$A$62,0),6))</f>
        <v>加賀陸上</v>
      </c>
      <c r="Y35" s="534"/>
      <c r="Z35" s="534"/>
      <c r="AA35" s="534"/>
      <c r="AB35" s="534"/>
      <c r="AC35" s="534"/>
      <c r="AD35" s="535"/>
      <c r="AE35" s="543" t="str">
        <f>IF(AF34="","",INDEX(記入!$A$7:$Q$62,MATCH(VALUE($A26&amp;AE$3&amp;2),記入!$A$7:$A$62,0),6))</f>
        <v>かほく市S</v>
      </c>
      <c r="AF35" s="534"/>
      <c r="AG35" s="534"/>
      <c r="AH35" s="534"/>
      <c r="AI35" s="534"/>
      <c r="AJ35" s="534"/>
      <c r="AK35" s="535"/>
      <c r="AL35" s="543" t="str">
        <f>IF(AM34="","",INDEX(記入!$A$7:$Q$62,MATCH(VALUE($A26&amp;AL$3&amp;2),記入!$A$7:$A$62,0),6))</f>
        <v>北陸大FPB</v>
      </c>
      <c r="AM35" s="534"/>
      <c r="AN35" s="534"/>
      <c r="AO35" s="534"/>
      <c r="AP35" s="534"/>
      <c r="AQ35" s="534"/>
      <c r="AR35" s="535"/>
      <c r="AS35" s="543" t="str">
        <f>IF(AT34="","",INDEX(記入!$A$7:$Q$62,MATCH(VALUE($A26&amp;AS$3&amp;2),記入!$A$7:$A$62,0),6))</f>
        <v>かほく市S</v>
      </c>
      <c r="AT35" s="534"/>
      <c r="AU35" s="534"/>
      <c r="AV35" s="534"/>
      <c r="AW35" s="534"/>
      <c r="AX35" s="534"/>
      <c r="AY35" s="535"/>
      <c r="AZ35" s="543" t="str">
        <f>IF(BA34="","",INDEX(記入!$A$7:$Q$62,MATCH(VALUE($A26&amp;AZ$3&amp;2),記入!$A$7:$A$62,0),6))</f>
        <v>小松市民</v>
      </c>
      <c r="BA35" s="534"/>
      <c r="BB35" s="534"/>
      <c r="BC35" s="534"/>
      <c r="BD35" s="534"/>
      <c r="BE35" s="534"/>
      <c r="BF35" s="535"/>
      <c r="BG35" s="589"/>
      <c r="BH35" s="562"/>
      <c r="BI35" s="562"/>
      <c r="BJ35" s="584"/>
      <c r="BK35" s="571"/>
      <c r="BL35" s="47"/>
      <c r="BM35" s="582"/>
      <c r="BO35" s="117"/>
      <c r="BP35" s="579"/>
    </row>
    <row r="36" spans="1:68" ht="11.25" customHeight="1" x14ac:dyDescent="0.25">
      <c r="A36" s="528">
        <v>4</v>
      </c>
      <c r="B36" s="529" t="str">
        <f>編成!N4</f>
        <v>Riopedra
加賀FC</v>
      </c>
      <c r="C36" s="544">
        <f>IF(E38="","",E37+E38)</f>
        <v>0</v>
      </c>
      <c r="D36" s="537"/>
      <c r="E36" s="537"/>
      <c r="F36" s="9" t="str">
        <f>IF(E38="","",IF(C36=G36,"△",IF(C36&gt;G36,"○","●")))</f>
        <v>●</v>
      </c>
      <c r="G36" s="537">
        <f>IF(G38="","",G37+G38)</f>
        <v>7</v>
      </c>
      <c r="H36" s="537"/>
      <c r="I36" s="542"/>
      <c r="J36" s="544">
        <f>IF(L38="","",L37+L38)</f>
        <v>1</v>
      </c>
      <c r="K36" s="537"/>
      <c r="L36" s="537"/>
      <c r="M36" s="9" t="str">
        <f>IF(L38="","",IF(J36=N36,"△",IF(J36&gt;N36,"○","●")))</f>
        <v>●</v>
      </c>
      <c r="N36" s="537">
        <f>IF(N38="","",N37+N38)</f>
        <v>2</v>
      </c>
      <c r="O36" s="537"/>
      <c r="P36" s="542"/>
      <c r="Q36" s="544">
        <f>IF(S38="","",S37+S38)</f>
        <v>0</v>
      </c>
      <c r="R36" s="537"/>
      <c r="S36" s="537"/>
      <c r="T36" s="9" t="str">
        <f>IF(S38="","",IF(Q36=U36,"△",IF(Q36&gt;U36,"○","●")))</f>
        <v>●</v>
      </c>
      <c r="U36" s="537">
        <f>IF(U38="","",U37+U38)</f>
        <v>1</v>
      </c>
      <c r="V36" s="537"/>
      <c r="W36" s="542"/>
      <c r="X36" s="5"/>
      <c r="Y36" s="85"/>
      <c r="Z36" s="85"/>
      <c r="AA36" s="85"/>
      <c r="AB36" s="85"/>
      <c r="AC36" s="85"/>
      <c r="AD36" s="6"/>
      <c r="AE36" s="544">
        <f>IF(AG37="","",INDEX(記入!$A$7:$Q$62,MATCH(VALUE($A36&amp;AE$3&amp;1),記入!$A$7:$A$62,0),9))</f>
        <v>1</v>
      </c>
      <c r="AF36" s="537"/>
      <c r="AG36" s="537"/>
      <c r="AH36" s="9" t="str">
        <f>IF(AG38="","",IF(AE36=AI36,"△",IF(AE36&gt;AI36,"○","●")))</f>
        <v>○</v>
      </c>
      <c r="AI36" s="537">
        <f>IF(AG37="","",INDEX(記入!$A$7:$Q$62,MATCH(VALUE($A36&amp;AE$3&amp;1),記入!$A$7:$A$62,0),15))</f>
        <v>0</v>
      </c>
      <c r="AJ36" s="537"/>
      <c r="AK36" s="542"/>
      <c r="AL36" s="544">
        <f>IF(AN37="","",INDEX(記入!$A$7:$Q$62,MATCH(VALUE($A36&amp;AL$3&amp;1),記入!$A$7:$A$62,0),9))</f>
        <v>0</v>
      </c>
      <c r="AM36" s="537"/>
      <c r="AN36" s="537"/>
      <c r="AO36" s="9" t="str">
        <f>IF(AN38="","",IF(AL36=AP36,"△",IF(AL36&gt;AP36,"○","●")))</f>
        <v>●</v>
      </c>
      <c r="AP36" s="537">
        <f>IF(AN37="","",INDEX(記入!$A$7:$Q$62,MATCH(VALUE($A36&amp;AL$3&amp;1),記入!$A$7:$A$62,0),15))</f>
        <v>3</v>
      </c>
      <c r="AQ36" s="537"/>
      <c r="AR36" s="542"/>
      <c r="AS36" s="544">
        <f>IF(AU37="","",INDEX(記入!$A$7:$Q$62,MATCH(VALUE($A36&amp;AS$3&amp;1),記入!$A$7:$A$62,0),9))</f>
        <v>0</v>
      </c>
      <c r="AT36" s="537"/>
      <c r="AU36" s="537"/>
      <c r="AV36" s="9" t="str">
        <f>IF(AU38="","",IF(AS36=AW36,"△",IF(AS36&gt;AW36,"○","●")))</f>
        <v>●</v>
      </c>
      <c r="AW36" s="537">
        <f>IF(AU37="","",INDEX(記入!$A$7:$Q$62,MATCH(VALUE($A36&amp;AS$3&amp;1),記入!$A$7:$A$62,0),15))</f>
        <v>3</v>
      </c>
      <c r="AX36" s="537"/>
      <c r="AY36" s="542"/>
      <c r="AZ36" s="544">
        <f>IF(BB37="","",INDEX(記入!$A$7:$Q$62,MATCH(VALUE($A36&amp;AZ$3&amp;1),記入!$A$7:$A$62,0),9))</f>
        <v>3</v>
      </c>
      <c r="BA36" s="537"/>
      <c r="BB36" s="537"/>
      <c r="BC36" s="9" t="str">
        <f>IF(BB38="","",IF(AZ36=BD36,"△",IF(AZ36&gt;BD36,"○","●")))</f>
        <v>○</v>
      </c>
      <c r="BD36" s="537">
        <f>IF(BB37="","",INDEX(記入!$A$7:$Q$62,MATCH(VALUE($A36&amp;AZ$3&amp;1),記入!$A$7:$A$62,0),15))</f>
        <v>1</v>
      </c>
      <c r="BE36" s="537"/>
      <c r="BF36" s="566"/>
      <c r="BG36" s="588">
        <f>IF(COUNT(C37:BF37)=0,"",COUNTIF(AA$6:AA$85,"●")*3+COUNTIF(AA$6:AA$85,"△"))</f>
        <v>7</v>
      </c>
      <c r="BH36" s="560">
        <f>IF(BG36="","",SUM(AB$6:AB$85)/2)</f>
        <v>7</v>
      </c>
      <c r="BI36" s="560">
        <f>IF(BG36="","",SUM(X$6:X$85))</f>
        <v>30</v>
      </c>
      <c r="BJ36" s="583">
        <f>IF(BG36="","",BH36-BI36)</f>
        <v>-23</v>
      </c>
      <c r="BK36" s="569">
        <f>IF(BG36="","",RANK(BL36,BL$6:BL$85))</f>
        <v>6</v>
      </c>
      <c r="BL36" s="47">
        <f>IF(BG36="",-ROW()*10000,BG36*10000+BJ36*100+BH36+COUNTIF(C36:BF36,"&gt;=0")/20)</f>
        <v>67707.7</v>
      </c>
      <c r="BM36" s="580">
        <f>RANK(BL36,BL$6:BL$85)</f>
        <v>6</v>
      </c>
      <c r="BN36" s="1">
        <v>31</v>
      </c>
      <c r="BO36" s="118">
        <f>IF(BG36="",-ROW()*10000,BG36*10000+BJ36*100+BH36+COUNTIF(C36:BF36,"&gt;=0")/20-ROW()/1000)</f>
        <v>67707.664000000004</v>
      </c>
      <c r="BP36" s="577">
        <f>RANK(BO36,BO$6:BO$85)</f>
        <v>6</v>
      </c>
    </row>
    <row r="37" spans="1:68" ht="10.5" customHeight="1" x14ac:dyDescent="0.25">
      <c r="A37" s="528"/>
      <c r="B37" s="530"/>
      <c r="C37" s="2"/>
      <c r="D37" s="5"/>
      <c r="E37" s="15">
        <f>IF(AB7="","",AB7)</f>
        <v>0</v>
      </c>
      <c r="F37" s="3" t="s">
        <v>199</v>
      </c>
      <c r="G37" s="16">
        <f>IF(Z7="","",Z7)</f>
        <v>5</v>
      </c>
      <c r="H37" s="6"/>
      <c r="I37" s="4"/>
      <c r="J37" s="2"/>
      <c r="K37" s="5"/>
      <c r="L37" s="15">
        <f>IF(AB17="","",AB17)</f>
        <v>0</v>
      </c>
      <c r="M37" s="3" t="s">
        <v>199</v>
      </c>
      <c r="N37" s="16">
        <f>IF(Z17="","",Z17)</f>
        <v>1</v>
      </c>
      <c r="O37" s="6"/>
      <c r="P37" s="4"/>
      <c r="Q37" s="2"/>
      <c r="R37" s="5"/>
      <c r="S37" s="15">
        <f>IF(AB27="","",AB27)</f>
        <v>0</v>
      </c>
      <c r="T37" s="3" t="s">
        <v>199</v>
      </c>
      <c r="U37" s="16">
        <f>IF(Z27="","",Z27)</f>
        <v>1</v>
      </c>
      <c r="V37" s="6"/>
      <c r="W37" s="4"/>
      <c r="X37" s="2"/>
      <c r="Y37" s="3"/>
      <c r="Z37" s="3"/>
      <c r="AA37" s="3"/>
      <c r="AB37" s="3"/>
      <c r="AC37" s="3"/>
      <c r="AD37" s="4"/>
      <c r="AE37" s="2"/>
      <c r="AF37" s="5"/>
      <c r="AG37" s="15">
        <f>IF(AF39="","",IF(INDEX(記入!$A$7:$Q$62,MATCH(VALUE($A36&amp;AE$3&amp;1),記入!$A$7:$A$62,0),11)="","",INDEX(記入!$A$7:$Q$62,MATCH(VALUE($A36&amp;AE$3&amp;1),記入!$A$7:$A$62,0),11)))</f>
        <v>0</v>
      </c>
      <c r="AH37" s="3" t="s">
        <v>199</v>
      </c>
      <c r="AI37" s="16">
        <f>IF(AG37="","",INDEX(記入!$A$7:$Q$62,MATCH(VALUE($A36&amp;AE$3&amp;1),記入!$A$7:$A$62,0),13))</f>
        <v>0</v>
      </c>
      <c r="AJ37" s="6"/>
      <c r="AK37" s="4"/>
      <c r="AL37" s="2"/>
      <c r="AM37" s="5"/>
      <c r="AN37" s="15">
        <f>IF(AM39="","",IF(INDEX(記入!$A$7:$Q$62,MATCH(VALUE($A36&amp;AL$3&amp;1),記入!$A$7:$A$62,0),11)="","",INDEX(記入!$A$7:$Q$62,MATCH(VALUE($A36&amp;AL$3&amp;1),記入!$A$7:$A$62,0),11)))</f>
        <v>0</v>
      </c>
      <c r="AO37" s="3" t="s">
        <v>199</v>
      </c>
      <c r="AP37" s="16">
        <f>IF(AN37="","",INDEX(記入!$A$7:$Q$62,MATCH(VALUE($A36&amp;AL$3&amp;1),記入!$A$7:$A$62,0),13))</f>
        <v>2</v>
      </c>
      <c r="AQ37" s="6"/>
      <c r="AR37" s="4"/>
      <c r="AS37" s="2"/>
      <c r="AT37" s="5"/>
      <c r="AU37" s="15">
        <f>IF(AT39="","",IF(INDEX(記入!$A$7:$Q$62,MATCH(VALUE($A36&amp;AS$3&amp;1),記入!$A$7:$A$62,0),11)="","",INDEX(記入!$A$7:$Q$62,MATCH(VALUE($A36&amp;AS$3&amp;1),記入!$A$7:$A$62,0),11)))</f>
        <v>0</v>
      </c>
      <c r="AV37" s="3" t="s">
        <v>199</v>
      </c>
      <c r="AW37" s="16">
        <f>IF(AU37="","",INDEX(記入!$A$7:$Q$62,MATCH(VALUE($A36&amp;AS$3&amp;1),記入!$A$7:$A$62,0),13))</f>
        <v>0</v>
      </c>
      <c r="AX37" s="6"/>
      <c r="AY37" s="4"/>
      <c r="AZ37" s="2"/>
      <c r="BA37" s="5"/>
      <c r="BB37" s="15">
        <f>IF(BA39="","",IF(INDEX(記入!$A$7:$Q$62,MATCH(VALUE($A36&amp;AZ$3&amp;1),記入!$A$7:$A$62,0),11)="","",INDEX(記入!$A$7:$Q$62,MATCH(VALUE($A36&amp;AZ$3&amp;1),記入!$A$7:$A$62,0),11)))</f>
        <v>1</v>
      </c>
      <c r="BC37" s="3" t="s">
        <v>199</v>
      </c>
      <c r="BD37" s="16">
        <f>IF(BB37="","",INDEX(記入!$A$7:$Q$62,MATCH(VALUE($A36&amp;AZ$3&amp;1),記入!$A$7:$A$62,0),13))</f>
        <v>0</v>
      </c>
      <c r="BE37" s="6"/>
      <c r="BF37" s="356"/>
      <c r="BG37" s="573"/>
      <c r="BH37" s="561"/>
      <c r="BI37" s="561"/>
      <c r="BJ37" s="575"/>
      <c r="BK37" s="570"/>
      <c r="BL37" s="47"/>
      <c r="BM37" s="581"/>
      <c r="BO37" s="117"/>
      <c r="BP37" s="578"/>
    </row>
    <row r="38" spans="1:68" ht="10.5" customHeight="1" x14ac:dyDescent="0.25">
      <c r="A38" s="528"/>
      <c r="B38" s="530"/>
      <c r="C38" s="2"/>
      <c r="D38" s="7"/>
      <c r="E38" s="15">
        <f>IF(AB8="","",AB8)</f>
        <v>0</v>
      </c>
      <c r="F38" s="3" t="s">
        <v>199</v>
      </c>
      <c r="G38" s="16">
        <f>IF(Z8="","",Z8)</f>
        <v>2</v>
      </c>
      <c r="H38" s="8"/>
      <c r="I38" s="4"/>
      <c r="J38" s="2"/>
      <c r="K38" s="7"/>
      <c r="L38" s="15">
        <f>IF(AB18="","",AB18)</f>
        <v>1</v>
      </c>
      <c r="M38" s="3" t="s">
        <v>199</v>
      </c>
      <c r="N38" s="16">
        <f>IF(Z18="","",Z18)</f>
        <v>1</v>
      </c>
      <c r="O38" s="8"/>
      <c r="P38" s="4"/>
      <c r="Q38" s="2"/>
      <c r="R38" s="7"/>
      <c r="S38" s="15">
        <f>IF(AB28="","",AB28)</f>
        <v>0</v>
      </c>
      <c r="T38" s="3" t="s">
        <v>199</v>
      </c>
      <c r="U38" s="16">
        <f>IF(Z28="","",Z28)</f>
        <v>0</v>
      </c>
      <c r="V38" s="8"/>
      <c r="W38" s="4"/>
      <c r="X38" s="2"/>
      <c r="Y38" s="3"/>
      <c r="Z38" s="3"/>
      <c r="AA38" s="3"/>
      <c r="AB38" s="3"/>
      <c r="AC38" s="3"/>
      <c r="AD38" s="4"/>
      <c r="AE38" s="2"/>
      <c r="AF38" s="7"/>
      <c r="AG38" s="15">
        <f>IF(AG37="","",AE36-AG37)</f>
        <v>1</v>
      </c>
      <c r="AH38" s="3" t="s">
        <v>199</v>
      </c>
      <c r="AI38" s="16">
        <f>IF(AI37="","",AI36-AI37)</f>
        <v>0</v>
      </c>
      <c r="AJ38" s="8"/>
      <c r="AK38" s="4"/>
      <c r="AL38" s="2"/>
      <c r="AM38" s="7"/>
      <c r="AN38" s="15">
        <f>IF(AN37="","",AL36-AN37)</f>
        <v>0</v>
      </c>
      <c r="AO38" s="3" t="s">
        <v>199</v>
      </c>
      <c r="AP38" s="16">
        <f>IF(AP37="","",AP36-AP37)</f>
        <v>1</v>
      </c>
      <c r="AQ38" s="8"/>
      <c r="AR38" s="4"/>
      <c r="AS38" s="2"/>
      <c r="AT38" s="7"/>
      <c r="AU38" s="15">
        <f>IF(AU37="","",AS36-AU37)</f>
        <v>0</v>
      </c>
      <c r="AV38" s="3" t="s">
        <v>199</v>
      </c>
      <c r="AW38" s="16">
        <f>IF(AW37="","",AW36-AW37)</f>
        <v>3</v>
      </c>
      <c r="AX38" s="8"/>
      <c r="AY38" s="4"/>
      <c r="AZ38" s="2"/>
      <c r="BA38" s="7"/>
      <c r="BB38" s="15">
        <f>IF(BB37="","",AZ36-BB37)</f>
        <v>2</v>
      </c>
      <c r="BC38" s="3" t="s">
        <v>199</v>
      </c>
      <c r="BD38" s="16">
        <f>IF(BD37="","",BD36-BD37)</f>
        <v>1</v>
      </c>
      <c r="BE38" s="8"/>
      <c r="BF38" s="356"/>
      <c r="BG38" s="573"/>
      <c r="BH38" s="561"/>
      <c r="BI38" s="561"/>
      <c r="BJ38" s="575"/>
      <c r="BK38" s="570"/>
      <c r="BL38" s="47"/>
      <c r="BM38" s="581"/>
      <c r="BO38" s="117"/>
      <c r="BP38" s="578"/>
    </row>
    <row r="39" spans="1:68" ht="11.25" customHeight="1" x14ac:dyDescent="0.25">
      <c r="A39" s="528"/>
      <c r="B39" s="530"/>
      <c r="C39" s="51"/>
      <c r="D39" s="532" t="str">
        <f>IF(C40="","",Y9)</f>
        <v>③</v>
      </c>
      <c r="E39" s="532"/>
      <c r="F39" s="540">
        <f>IF(C40="","",AA9)</f>
        <v>42497</v>
      </c>
      <c r="G39" s="540"/>
      <c r="H39" s="540"/>
      <c r="I39" s="541"/>
      <c r="J39" s="51"/>
      <c r="K39" s="532" t="str">
        <f>IF(J40="","",Y19)</f>
        <v>②</v>
      </c>
      <c r="L39" s="532"/>
      <c r="M39" s="540">
        <f>IF(J40="","",AA19)</f>
        <v>42491</v>
      </c>
      <c r="N39" s="540"/>
      <c r="O39" s="540"/>
      <c r="P39" s="541"/>
      <c r="Q39" s="51"/>
      <c r="R39" s="532" t="str">
        <f>IF(Q40="","",Y29)</f>
        <v>①</v>
      </c>
      <c r="S39" s="532"/>
      <c r="T39" s="540">
        <f>IF(Q40="","",AA29)</f>
        <v>42489</v>
      </c>
      <c r="U39" s="540"/>
      <c r="V39" s="540"/>
      <c r="W39" s="541"/>
      <c r="X39" s="2"/>
      <c r="Y39" s="3"/>
      <c r="Z39" s="3"/>
      <c r="AA39" s="3"/>
      <c r="AB39" s="3"/>
      <c r="AC39" s="3"/>
      <c r="AD39" s="4"/>
      <c r="AE39" s="80"/>
      <c r="AF39" s="532" t="str">
        <f>IF(COUNT(MATCH(VALUE($A36&amp;AE$3&amp;1),記入!$A$7:$A$62,0))=0,"",INDEX(記入!$A$7:$Q$62,MATCH(VALUE($A36&amp;AE$3&amp;1),記入!$A$7:$A$62,0),3))</f>
        <v>⑦</v>
      </c>
      <c r="AG39" s="532"/>
      <c r="AH39" s="546">
        <f>IF(AF39="","",INDEX(記入!$A$7:$Q$62,MATCH(VALUE($A36&amp;AE$3&amp;1),記入!$A$7:$A$62,0),4))</f>
        <v>42546</v>
      </c>
      <c r="AI39" s="546"/>
      <c r="AJ39" s="546"/>
      <c r="AK39" s="547"/>
      <c r="AL39" s="80"/>
      <c r="AM39" s="532" t="str">
        <f>IF(COUNT(MATCH(VALUE($A36&amp;AL$3&amp;1),記入!$A$7:$A$62,0))=0,"",INDEX(記入!$A$7:$Q$62,MATCH(VALUE($A36&amp;AL$3&amp;1),記入!$A$7:$A$62,0),3))</f>
        <v>⑦</v>
      </c>
      <c r="AN39" s="532"/>
      <c r="AO39" s="546">
        <f>IF(AM39="","",INDEX(記入!$A$7:$Q$62,MATCH(VALUE($A36&amp;AL$3&amp;1),記入!$A$7:$A$62,0),4))</f>
        <v>42554</v>
      </c>
      <c r="AP39" s="546"/>
      <c r="AQ39" s="546"/>
      <c r="AR39" s="547"/>
      <c r="AS39" s="80"/>
      <c r="AT39" s="532" t="str">
        <f>IF(COUNT(MATCH(VALUE($A36&amp;AS$3&amp;1),記入!$A$7:$A$62,0))=0,"",INDEX(記入!$A$7:$Q$62,MATCH(VALUE($A36&amp;AS$3&amp;1),記入!$A$7:$A$62,0),3))</f>
        <v>④</v>
      </c>
      <c r="AU39" s="532"/>
      <c r="AV39" s="546">
        <f>IF(AT39="","",INDEX(記入!$A$7:$Q$62,MATCH(VALUE($A36&amp;AS$3&amp;1),記入!$A$7:$A$62,0),4))</f>
        <v>42505</v>
      </c>
      <c r="AW39" s="546"/>
      <c r="AX39" s="546"/>
      <c r="AY39" s="547"/>
      <c r="AZ39" s="80"/>
      <c r="BA39" s="532" t="str">
        <f>IF(COUNT(MATCH(VALUE($A36&amp;AZ$3&amp;1),記入!$A$7:$A$62,0))=0,"",INDEX(記入!$A$7:$Q$62,MATCH(VALUE($A36&amp;AZ$3&amp;1),記入!$A$7:$A$62,0),3))</f>
        <v>⑤</v>
      </c>
      <c r="BB39" s="532"/>
      <c r="BC39" s="546">
        <f>IF(BA39="","",INDEX(記入!$A$7:$Q$62,MATCH(VALUE($A36&amp;AZ$3&amp;1),記入!$A$7:$A$62,0),4))</f>
        <v>42512</v>
      </c>
      <c r="BD39" s="546"/>
      <c r="BE39" s="546"/>
      <c r="BF39" s="567"/>
      <c r="BG39" s="573"/>
      <c r="BH39" s="561"/>
      <c r="BI39" s="561"/>
      <c r="BJ39" s="575"/>
      <c r="BK39" s="570"/>
      <c r="BL39" s="47"/>
      <c r="BM39" s="581"/>
      <c r="BO39" s="117"/>
      <c r="BP39" s="578"/>
    </row>
    <row r="40" spans="1:68" ht="11.25" customHeight="1" x14ac:dyDescent="0.25">
      <c r="A40" s="528"/>
      <c r="B40" s="530"/>
      <c r="C40" s="543" t="str">
        <f>IF(X10="","",X10)</f>
        <v>金沢交流</v>
      </c>
      <c r="D40" s="534"/>
      <c r="E40" s="534"/>
      <c r="F40" s="534"/>
      <c r="G40" s="534"/>
      <c r="H40" s="534"/>
      <c r="I40" s="535"/>
      <c r="J40" s="543" t="str">
        <f>IF(X20="","",X20)</f>
        <v>能登島Ｂ</v>
      </c>
      <c r="K40" s="534"/>
      <c r="L40" s="534"/>
      <c r="M40" s="534"/>
      <c r="N40" s="534"/>
      <c r="O40" s="534"/>
      <c r="P40" s="535"/>
      <c r="Q40" s="543" t="str">
        <f>IF(X30="","",X30)</f>
        <v>星稜ｻｯｶｰ場</v>
      </c>
      <c r="R40" s="534"/>
      <c r="S40" s="534"/>
      <c r="T40" s="534"/>
      <c r="U40" s="534"/>
      <c r="V40" s="534"/>
      <c r="W40" s="535"/>
      <c r="X40" s="2"/>
      <c r="Y40" s="3"/>
      <c r="Z40" s="3"/>
      <c r="AA40" s="3"/>
      <c r="AB40" s="3"/>
      <c r="AC40" s="3"/>
      <c r="AD40" s="4"/>
      <c r="AE40" s="543" t="str">
        <f>IF(AF39="","",INDEX(記入!$A$7:$Q$62,MATCH(VALUE($A36&amp;AE$3&amp;1),記入!$A$7:$A$62,0),6))</f>
        <v>加賀陸上</v>
      </c>
      <c r="AF40" s="534"/>
      <c r="AG40" s="534"/>
      <c r="AH40" s="534"/>
      <c r="AI40" s="534"/>
      <c r="AJ40" s="534"/>
      <c r="AK40" s="535"/>
      <c r="AL40" s="543" t="str">
        <f>IF(AM39="","",INDEX(記入!$A$7:$Q$62,MATCH(VALUE($A36&amp;AL$3&amp;1),記入!$A$7:$A$62,0),6))</f>
        <v>加賀陸上</v>
      </c>
      <c r="AM40" s="534"/>
      <c r="AN40" s="534"/>
      <c r="AO40" s="534"/>
      <c r="AP40" s="534"/>
      <c r="AQ40" s="534"/>
      <c r="AR40" s="535"/>
      <c r="AS40" s="543" t="str">
        <f>IF(AT39="","",INDEX(記入!$A$7:$Q$62,MATCH(VALUE($A36&amp;AS$3&amp;1),記入!$A$7:$A$62,0),6))</f>
        <v>かほく市S</v>
      </c>
      <c r="AT40" s="534"/>
      <c r="AU40" s="534"/>
      <c r="AV40" s="534"/>
      <c r="AW40" s="534"/>
      <c r="AX40" s="534"/>
      <c r="AY40" s="535"/>
      <c r="AZ40" s="543" t="str">
        <f>IF(BA39="","",INDEX(記入!$A$7:$Q$62,MATCH(VALUE($A36&amp;AZ$3&amp;1),記入!$A$7:$A$62,0),6))</f>
        <v>加賀陸上</v>
      </c>
      <c r="BA40" s="534"/>
      <c r="BB40" s="534"/>
      <c r="BC40" s="534"/>
      <c r="BD40" s="534"/>
      <c r="BE40" s="534"/>
      <c r="BF40" s="565"/>
      <c r="BG40" s="573"/>
      <c r="BH40" s="561"/>
      <c r="BI40" s="561"/>
      <c r="BJ40" s="575"/>
      <c r="BK40" s="570"/>
      <c r="BL40" s="47"/>
      <c r="BM40" s="581"/>
      <c r="BO40" s="117"/>
      <c r="BP40" s="578"/>
    </row>
    <row r="41" spans="1:68" ht="11.25" customHeight="1" x14ac:dyDescent="0.25">
      <c r="A41" s="528"/>
      <c r="B41" s="530"/>
      <c r="C41" s="544">
        <f>IF(E43="","",E42+E43)</f>
        <v>0</v>
      </c>
      <c r="D41" s="537"/>
      <c r="E41" s="537"/>
      <c r="F41" s="9" t="str">
        <f>IF(E43="","",IF(C41=G41,"△",IF(C41&gt;G41,"○","●")))</f>
        <v>●</v>
      </c>
      <c r="G41" s="537">
        <f>IF(G43="","",G42+G43)</f>
        <v>7</v>
      </c>
      <c r="H41" s="537"/>
      <c r="I41" s="542"/>
      <c r="J41" s="544">
        <f>IF(L43="","",L42+L43)</f>
        <v>0</v>
      </c>
      <c r="K41" s="537"/>
      <c r="L41" s="537"/>
      <c r="M41" s="9" t="str">
        <f>IF(L43="","",IF(J41=N41,"△",IF(J41&gt;N41,"○","●")))</f>
        <v>●</v>
      </c>
      <c r="N41" s="537">
        <f>IF(N43="","",N42+N43)</f>
        <v>2</v>
      </c>
      <c r="O41" s="537"/>
      <c r="P41" s="542"/>
      <c r="Q41" s="544">
        <f>IF(S43="","",S42+S43)</f>
        <v>1</v>
      </c>
      <c r="R41" s="537"/>
      <c r="S41" s="537"/>
      <c r="T41" s="9" t="str">
        <f>IF(S43="","",IF(Q41=U41,"△",IF(Q41&gt;U41,"○","●")))</f>
        <v>●</v>
      </c>
      <c r="U41" s="537">
        <f>IF(U43="","",U42+U43)</f>
        <v>3</v>
      </c>
      <c r="V41" s="537"/>
      <c r="W41" s="542"/>
      <c r="X41" s="2"/>
      <c r="Y41" s="3"/>
      <c r="Z41" s="3"/>
      <c r="AA41" s="3"/>
      <c r="AB41" s="3"/>
      <c r="AC41" s="3"/>
      <c r="AD41" s="4"/>
      <c r="AE41" s="544" t="str">
        <f>IF(AG42="","",INDEX(記入!$A$7:$Q$62,MATCH(VALUE($A36&amp;AE$3&amp;2),記入!$A$7:$A$62,0),9))</f>
        <v/>
      </c>
      <c r="AF41" s="537"/>
      <c r="AG41" s="537"/>
      <c r="AH41" s="9" t="str">
        <f>IF(AG43="","",IF(AE41=AI41,"△",IF(AE41&gt;AI41,"○","●")))</f>
        <v/>
      </c>
      <c r="AI41" s="537" t="str">
        <f>IF(AG42="","",INDEX(記入!$A$7:$Q$62,MATCH(VALUE($A36&amp;AE$3&amp;2),記入!$A$7:$A$62,0),15))</f>
        <v/>
      </c>
      <c r="AJ41" s="537"/>
      <c r="AK41" s="542"/>
      <c r="AL41" s="544" t="str">
        <f>IF(AN42="","",INDEX(記入!$A$7:$Q$62,MATCH(VALUE($A36&amp;AL$3&amp;2),記入!$A$7:$A$62,0),9))</f>
        <v/>
      </c>
      <c r="AM41" s="537"/>
      <c r="AN41" s="537"/>
      <c r="AO41" s="9" t="str">
        <f>IF(AN43="","",IF(AL41=AP41,"△",IF(AL41&gt;AP41,"○","●")))</f>
        <v/>
      </c>
      <c r="AP41" s="537" t="str">
        <f>IF(AN42="","",INDEX(記入!$A$7:$Q$62,MATCH(VALUE($A36&amp;AL$3&amp;2),記入!$A$7:$A$62,0),15))</f>
        <v/>
      </c>
      <c r="AQ41" s="537"/>
      <c r="AR41" s="542"/>
      <c r="AS41" s="544" t="str">
        <f>IF(AU42="","",INDEX(記入!$A$7:$Q$62,MATCH(VALUE($A36&amp;AS$3&amp;2),記入!$A$7:$A$62,0),9))</f>
        <v/>
      </c>
      <c r="AT41" s="537"/>
      <c r="AU41" s="537"/>
      <c r="AV41" s="9" t="str">
        <f>IF(AU43="","",IF(AS41=AW41,"△",IF(AS41&gt;AW41,"○","●")))</f>
        <v/>
      </c>
      <c r="AW41" s="537" t="str">
        <f>IF(AU42="","",INDEX(記入!$A$7:$Q$62,MATCH(VALUE($A36&amp;AS$3&amp;2),記入!$A$7:$A$62,0),15))</f>
        <v/>
      </c>
      <c r="AX41" s="537"/>
      <c r="AY41" s="542"/>
      <c r="AZ41" s="544">
        <f>IF(BB42="","",INDEX(記入!$A$7:$Q$62,MATCH(VALUE($A36&amp;AZ$3&amp;2),記入!$A$7:$A$62,0),9))</f>
        <v>1</v>
      </c>
      <c r="BA41" s="537"/>
      <c r="BB41" s="537"/>
      <c r="BC41" s="9" t="str">
        <f>IF(BB43="","",IF(AZ41=BD41,"△",IF(AZ41&gt;BD41,"○","●")))</f>
        <v>△</v>
      </c>
      <c r="BD41" s="537">
        <f>IF(BB42="","",INDEX(記入!$A$7:$Q$62,MATCH(VALUE($A36&amp;AZ$3&amp;2),記入!$A$7:$A$62,0),15))</f>
        <v>1</v>
      </c>
      <c r="BE41" s="537"/>
      <c r="BF41" s="542"/>
      <c r="BG41" s="573"/>
      <c r="BH41" s="561"/>
      <c r="BI41" s="561"/>
      <c r="BJ41" s="575"/>
      <c r="BK41" s="570"/>
      <c r="BL41" s="47"/>
      <c r="BM41" s="581"/>
      <c r="BO41" s="117"/>
      <c r="BP41" s="578"/>
    </row>
    <row r="42" spans="1:68" ht="11.25" customHeight="1" x14ac:dyDescent="0.25">
      <c r="A42" s="528"/>
      <c r="B42" s="530"/>
      <c r="C42" s="2"/>
      <c r="D42" s="5"/>
      <c r="E42" s="15">
        <f>IF(AB12="","",AB12)</f>
        <v>0</v>
      </c>
      <c r="F42" s="3" t="s">
        <v>199</v>
      </c>
      <c r="G42" s="16">
        <f>IF(Z12="","",Z12)</f>
        <v>1</v>
      </c>
      <c r="H42" s="6"/>
      <c r="I42" s="4"/>
      <c r="J42" s="2"/>
      <c r="K42" s="5"/>
      <c r="L42" s="15">
        <f>IF(AB22="","",AB22)</f>
        <v>0</v>
      </c>
      <c r="M42" s="3" t="s">
        <v>199</v>
      </c>
      <c r="N42" s="16">
        <f>IF(Z22="","",Z22)</f>
        <v>0</v>
      </c>
      <c r="O42" s="6"/>
      <c r="P42" s="4"/>
      <c r="Q42" s="2"/>
      <c r="R42" s="5"/>
      <c r="S42" s="15">
        <f>IF(AB32="","",AB32)</f>
        <v>1</v>
      </c>
      <c r="T42" s="3" t="s">
        <v>199</v>
      </c>
      <c r="U42" s="16">
        <f>IF(Z32="","",Z32)</f>
        <v>1</v>
      </c>
      <c r="V42" s="6"/>
      <c r="W42" s="4"/>
      <c r="X42" s="2"/>
      <c r="Y42" s="3"/>
      <c r="Z42" s="3"/>
      <c r="AA42" s="3"/>
      <c r="AB42" s="3"/>
      <c r="AC42" s="3"/>
      <c r="AD42" s="4"/>
      <c r="AE42" s="2"/>
      <c r="AF42" s="5"/>
      <c r="AG42" s="15" t="str">
        <f>IF(AF44="","",IF(INDEX(記入!$A$7:$Q$62,MATCH(VALUE($A36&amp;AE$3&amp;2),記入!$A$7:$A$62,0),11)="","",INDEX(記入!$A$7:$Q$62,MATCH(VALUE($A36&amp;AE$3&amp;2),記入!$A$7:$A$62,0),11)))</f>
        <v/>
      </c>
      <c r="AH42" s="3" t="s">
        <v>199</v>
      </c>
      <c r="AI42" s="16" t="str">
        <f>IF(AG42="","",INDEX(記入!$A$7:$Q$62,MATCH(VALUE($A36&amp;AE$3&amp;2),記入!$A$7:$A$62,0),13))</f>
        <v/>
      </c>
      <c r="AJ42" s="6"/>
      <c r="AK42" s="4"/>
      <c r="AL42" s="2"/>
      <c r="AM42" s="5"/>
      <c r="AN42" s="15" t="str">
        <f>IF(AM44="","",IF(INDEX(記入!$A$7:$Q$62,MATCH(VALUE($A36&amp;AL$3&amp;2),記入!$A$7:$A$62,0),11)="","",INDEX(記入!$A$7:$Q$62,MATCH(VALUE($A36&amp;AL$3&amp;2),記入!$A$7:$A$62,0),11)))</f>
        <v/>
      </c>
      <c r="AO42" s="3" t="s">
        <v>199</v>
      </c>
      <c r="AP42" s="16" t="str">
        <f>IF(AN42="","",INDEX(記入!$A$7:$Q$62,MATCH(VALUE($A36&amp;AL$3&amp;2),記入!$A$7:$A$62,0),13))</f>
        <v/>
      </c>
      <c r="AQ42" s="6"/>
      <c r="AR42" s="4"/>
      <c r="AS42" s="2"/>
      <c r="AT42" s="5"/>
      <c r="AU42" s="15" t="str">
        <f>IF(AT44="","",IF(INDEX(記入!$A$7:$Q$62,MATCH(VALUE($A36&amp;AS$3&amp;2),記入!$A$7:$A$62,0),11)="","",INDEX(記入!$A$7:$Q$62,MATCH(VALUE($A36&amp;AS$3&amp;2),記入!$A$7:$A$62,0),11)))</f>
        <v/>
      </c>
      <c r="AV42" s="3" t="s">
        <v>199</v>
      </c>
      <c r="AW42" s="16" t="str">
        <f>IF(AU42="","",INDEX(記入!$A$7:$Q$62,MATCH(VALUE($A36&amp;AS$3&amp;2),記入!$A$7:$A$62,0),13))</f>
        <v/>
      </c>
      <c r="AX42" s="6"/>
      <c r="AY42" s="4"/>
      <c r="AZ42" s="2"/>
      <c r="BA42" s="5"/>
      <c r="BB42" s="15">
        <f>IF(BA44="","",IF(INDEX(記入!$A$7:$Q$62,MATCH(VALUE($A36&amp;AZ$3&amp;2),記入!$A$7:$A$62,0),11)="","",INDEX(記入!$A$7:$Q$62,MATCH(VALUE($A36&amp;AZ$3&amp;2),記入!$A$7:$A$62,0),11)))</f>
        <v>0</v>
      </c>
      <c r="BC42" s="3" t="s">
        <v>199</v>
      </c>
      <c r="BD42" s="16">
        <f>IF(BB42="","",INDEX(記入!$A$7:$Q$62,MATCH(VALUE($A36&amp;AZ$3&amp;2),記入!$A$7:$A$62,0),13))</f>
        <v>0</v>
      </c>
      <c r="BE42" s="6"/>
      <c r="BF42" s="4"/>
      <c r="BG42" s="573"/>
      <c r="BH42" s="561"/>
      <c r="BI42" s="561"/>
      <c r="BJ42" s="575"/>
      <c r="BK42" s="570"/>
      <c r="BL42" s="47"/>
      <c r="BM42" s="581"/>
      <c r="BO42" s="117"/>
      <c r="BP42" s="578"/>
    </row>
    <row r="43" spans="1:68" ht="11.25" customHeight="1" x14ac:dyDescent="0.25">
      <c r="A43" s="528"/>
      <c r="B43" s="530"/>
      <c r="C43" s="2"/>
      <c r="D43" s="7"/>
      <c r="E43" s="15">
        <f>IF(AB13="","",AB13)</f>
        <v>0</v>
      </c>
      <c r="F43" s="3" t="s">
        <v>199</v>
      </c>
      <c r="G43" s="16">
        <f>IF(Z13="","",Z13)</f>
        <v>6</v>
      </c>
      <c r="H43" s="8"/>
      <c r="I43" s="4"/>
      <c r="J43" s="2"/>
      <c r="K43" s="7"/>
      <c r="L43" s="15">
        <f>IF(AB23="","",AB23)</f>
        <v>0</v>
      </c>
      <c r="M43" s="3" t="s">
        <v>199</v>
      </c>
      <c r="N43" s="16">
        <f>IF(Z23="","",Z23)</f>
        <v>2</v>
      </c>
      <c r="O43" s="8"/>
      <c r="P43" s="4"/>
      <c r="Q43" s="2"/>
      <c r="R43" s="7"/>
      <c r="S43" s="15">
        <f>IF(AB33="","",AB33)</f>
        <v>0</v>
      </c>
      <c r="T43" s="3" t="s">
        <v>199</v>
      </c>
      <c r="U43" s="16">
        <f>IF(Z33="","",Z33)</f>
        <v>2</v>
      </c>
      <c r="V43" s="8"/>
      <c r="W43" s="4"/>
      <c r="X43" s="2"/>
      <c r="Y43" s="3"/>
      <c r="Z43" s="3"/>
      <c r="AA43" s="3"/>
      <c r="AB43" s="3"/>
      <c r="AC43" s="3"/>
      <c r="AD43" s="4"/>
      <c r="AE43" s="2"/>
      <c r="AF43" s="7"/>
      <c r="AG43" s="15" t="str">
        <f>IF(AG42="","",AE41-AG42)</f>
        <v/>
      </c>
      <c r="AH43" s="3" t="s">
        <v>199</v>
      </c>
      <c r="AI43" s="16" t="str">
        <f>IF(AI42="","",AI41-AI42)</f>
        <v/>
      </c>
      <c r="AJ43" s="8"/>
      <c r="AK43" s="4"/>
      <c r="AL43" s="2"/>
      <c r="AM43" s="7"/>
      <c r="AN43" s="15" t="str">
        <f>IF(AN42="","",AL41-AN42)</f>
        <v/>
      </c>
      <c r="AO43" s="3" t="s">
        <v>199</v>
      </c>
      <c r="AP43" s="16" t="str">
        <f>IF(AP42="","",AP41-AP42)</f>
        <v/>
      </c>
      <c r="AQ43" s="8"/>
      <c r="AR43" s="4"/>
      <c r="AS43" s="2"/>
      <c r="AT43" s="7"/>
      <c r="AU43" s="15" t="str">
        <f>IF(AU42="","",AS41-AU42)</f>
        <v/>
      </c>
      <c r="AV43" s="3" t="s">
        <v>199</v>
      </c>
      <c r="AW43" s="16" t="str">
        <f>IF(AW42="","",AW41-AW42)</f>
        <v/>
      </c>
      <c r="AX43" s="8"/>
      <c r="AY43" s="4"/>
      <c r="AZ43" s="2"/>
      <c r="BA43" s="7"/>
      <c r="BB43" s="15">
        <f>IF(BB42="","",AZ41-BB42)</f>
        <v>1</v>
      </c>
      <c r="BC43" s="3" t="s">
        <v>199</v>
      </c>
      <c r="BD43" s="16">
        <f>IF(BD42="","",BD41-BD42)</f>
        <v>1</v>
      </c>
      <c r="BE43" s="8"/>
      <c r="BF43" s="4"/>
      <c r="BG43" s="573"/>
      <c r="BH43" s="561"/>
      <c r="BI43" s="561"/>
      <c r="BJ43" s="575"/>
      <c r="BK43" s="570"/>
      <c r="BL43" s="47"/>
      <c r="BM43" s="581"/>
      <c r="BO43" s="117"/>
      <c r="BP43" s="578"/>
    </row>
    <row r="44" spans="1:68" ht="11.25" customHeight="1" x14ac:dyDescent="0.25">
      <c r="A44" s="528"/>
      <c r="B44" s="530"/>
      <c r="C44" s="51"/>
      <c r="D44" s="532" t="str">
        <f>IF(C45="","",Y14)</f>
        <v>②</v>
      </c>
      <c r="E44" s="532"/>
      <c r="F44" s="540">
        <f>IF(C45="","",AA14)</f>
        <v>42644</v>
      </c>
      <c r="G44" s="540"/>
      <c r="H44" s="540"/>
      <c r="I44" s="541"/>
      <c r="J44" s="51"/>
      <c r="K44" s="532" t="str">
        <f>IF(J45="","",Y24)</f>
        <v>⑨</v>
      </c>
      <c r="L44" s="532"/>
      <c r="M44" s="540">
        <f>IF(J45="","",AA24)</f>
        <v>42581</v>
      </c>
      <c r="N44" s="540"/>
      <c r="O44" s="540"/>
      <c r="P44" s="541"/>
      <c r="Q44" s="51"/>
      <c r="R44" s="532" t="str">
        <f>IF(Q45="","",Y34)</f>
        <v>②</v>
      </c>
      <c r="S44" s="532"/>
      <c r="T44" s="540">
        <f>IF(Q45="","",AA34)</f>
        <v>42624</v>
      </c>
      <c r="U44" s="540"/>
      <c r="V44" s="540"/>
      <c r="W44" s="541"/>
      <c r="X44" s="2"/>
      <c r="Y44" s="3"/>
      <c r="Z44" s="3"/>
      <c r="AA44" s="3"/>
      <c r="AB44" s="3"/>
      <c r="AC44" s="3"/>
      <c r="AD44" s="4"/>
      <c r="AE44" s="80"/>
      <c r="AF44" s="532" t="str">
        <f>IF(COUNT(MATCH(VALUE($A36&amp;AE$3&amp;2),記入!$A$7:$A$62,0))=0,"",INDEX(記入!$A$7:$Q$62,MATCH(VALUE($A36&amp;AE$3&amp;2),記入!$A$7:$A$62,0),3))</f>
        <v>②</v>
      </c>
      <c r="AG44" s="532"/>
      <c r="AH44" s="546">
        <f>IF(AF44="","",INDEX(記入!$A$7:$Q$62,MATCH(VALUE($A36&amp;AE$3&amp;2),記入!$A$7:$A$62,0),4))</f>
        <v>42673</v>
      </c>
      <c r="AI44" s="546"/>
      <c r="AJ44" s="546"/>
      <c r="AK44" s="547"/>
      <c r="AL44" s="80"/>
      <c r="AM44" s="532" t="str">
        <f>IF(COUNT(MATCH(VALUE($A36&amp;AL$3&amp;2),記入!$A$7:$A$62,0))=0,"",INDEX(記入!$A$7:$Q$62,MATCH(VALUE($A36&amp;AL$3&amp;2),記入!$A$7:$A$62,0),3))</f>
        <v>②</v>
      </c>
      <c r="AN44" s="532"/>
      <c r="AO44" s="546">
        <f>IF(AM44="","",INDEX(記入!$A$7:$Q$62,MATCH(VALUE($A36&amp;AL$3&amp;2),記入!$A$7:$A$62,0),4))</f>
        <v>42659</v>
      </c>
      <c r="AP44" s="546"/>
      <c r="AQ44" s="546"/>
      <c r="AR44" s="547"/>
      <c r="AS44" s="80"/>
      <c r="AT44" s="532" t="str">
        <f>IF(COUNT(MATCH(VALUE($A36&amp;AS$3&amp;2),記入!$A$7:$A$62,0))=0,"",INDEX(記入!$A$7:$Q$62,MATCH(VALUE($A36&amp;AS$3&amp;2),記入!$A$7:$A$62,0),3))</f>
        <v>②</v>
      </c>
      <c r="AU44" s="532"/>
      <c r="AV44" s="546">
        <f>IF(AT44="","",INDEX(記入!$A$7:$Q$62,MATCH(VALUE($A36&amp;AS$3&amp;2),記入!$A$7:$A$62,0),4))</f>
        <v>42677</v>
      </c>
      <c r="AW44" s="546"/>
      <c r="AX44" s="546"/>
      <c r="AY44" s="547"/>
      <c r="AZ44" s="80"/>
      <c r="BA44" s="532" t="str">
        <f>IF(COUNT(MATCH(VALUE($A36&amp;AZ$3&amp;2),記入!$A$7:$A$62,0))=0,"",INDEX(記入!$A$7:$Q$62,MATCH(VALUE($A36&amp;AZ$3&amp;2),記入!$A$7:$A$62,0),3))</f>
        <v>⑨</v>
      </c>
      <c r="BB44" s="532"/>
      <c r="BC44" s="546">
        <f>IF(BA44="","",INDEX(記入!$A$7:$Q$62,MATCH(VALUE($A36&amp;AZ$3&amp;2),記入!$A$7:$A$62,0),4))</f>
        <v>42588</v>
      </c>
      <c r="BD44" s="546"/>
      <c r="BE44" s="546"/>
      <c r="BF44" s="547"/>
      <c r="BG44" s="573"/>
      <c r="BH44" s="561"/>
      <c r="BI44" s="561"/>
      <c r="BJ44" s="575"/>
      <c r="BK44" s="570"/>
      <c r="BL44" s="47"/>
      <c r="BM44" s="581"/>
      <c r="BO44" s="117"/>
      <c r="BP44" s="578"/>
    </row>
    <row r="45" spans="1:68" ht="11.25" customHeight="1" x14ac:dyDescent="0.25">
      <c r="A45" s="528"/>
      <c r="B45" s="531"/>
      <c r="C45" s="543" t="str">
        <f>IF(X15="","",X15)</f>
        <v>金沢市民</v>
      </c>
      <c r="D45" s="534"/>
      <c r="E45" s="534"/>
      <c r="F45" s="534"/>
      <c r="G45" s="534"/>
      <c r="H45" s="534"/>
      <c r="I45" s="535"/>
      <c r="J45" s="543" t="str">
        <f>IF(X25="","",X25)</f>
        <v>小松市民</v>
      </c>
      <c r="K45" s="534"/>
      <c r="L45" s="534"/>
      <c r="M45" s="534"/>
      <c r="N45" s="534"/>
      <c r="O45" s="534"/>
      <c r="P45" s="535"/>
      <c r="Q45" s="543" t="str">
        <f>IF(X35="","",X35)</f>
        <v>加賀陸上</v>
      </c>
      <c r="R45" s="534"/>
      <c r="S45" s="534"/>
      <c r="T45" s="534"/>
      <c r="U45" s="534"/>
      <c r="V45" s="534"/>
      <c r="W45" s="535"/>
      <c r="X45" s="2"/>
      <c r="Y45" s="3"/>
      <c r="Z45" s="3"/>
      <c r="AA45" s="3"/>
      <c r="AB45" s="3"/>
      <c r="AC45" s="3"/>
      <c r="AD45" s="4"/>
      <c r="AE45" s="543" t="str">
        <f>IF(AF44="","",INDEX(記入!$A$7:$Q$62,MATCH(VALUE($A36&amp;AE$3&amp;2),記入!$A$7:$A$62,0),6))</f>
        <v>小松市民</v>
      </c>
      <c r="AF45" s="534"/>
      <c r="AG45" s="534"/>
      <c r="AH45" s="534"/>
      <c r="AI45" s="534"/>
      <c r="AJ45" s="534"/>
      <c r="AK45" s="535"/>
      <c r="AL45" s="543" t="str">
        <f>IF(AM44="","",INDEX(記入!$A$7:$Q$62,MATCH(VALUE($A36&amp;AL$3&amp;2),記入!$A$7:$A$62,0),6))</f>
        <v>かほく市S</v>
      </c>
      <c r="AM45" s="534"/>
      <c r="AN45" s="534"/>
      <c r="AO45" s="534"/>
      <c r="AP45" s="534"/>
      <c r="AQ45" s="534"/>
      <c r="AR45" s="535"/>
      <c r="AS45" s="543" t="str">
        <f>IF(AT44="","",INDEX(記入!$A$7:$Q$62,MATCH(VALUE($A36&amp;AS$3&amp;2),記入!$A$7:$A$62,0),6))</f>
        <v>金沢市民</v>
      </c>
      <c r="AT45" s="534"/>
      <c r="AU45" s="534"/>
      <c r="AV45" s="534"/>
      <c r="AW45" s="534"/>
      <c r="AX45" s="534"/>
      <c r="AY45" s="535"/>
      <c r="AZ45" s="543" t="str">
        <f>IF(BA44="","",INDEX(記入!$A$7:$Q$62,MATCH(VALUE($A36&amp;AZ$3&amp;2),記入!$A$7:$A$62,0),6))</f>
        <v>金沢交流</v>
      </c>
      <c r="BA45" s="534"/>
      <c r="BB45" s="534"/>
      <c r="BC45" s="534"/>
      <c r="BD45" s="534"/>
      <c r="BE45" s="534"/>
      <c r="BF45" s="535"/>
      <c r="BG45" s="589"/>
      <c r="BH45" s="562"/>
      <c r="BI45" s="562"/>
      <c r="BJ45" s="584"/>
      <c r="BK45" s="571"/>
      <c r="BL45" s="47"/>
      <c r="BM45" s="582"/>
      <c r="BO45" s="117"/>
      <c r="BP45" s="579"/>
    </row>
    <row r="46" spans="1:68" ht="11.25" customHeight="1" x14ac:dyDescent="0.25">
      <c r="A46" s="528">
        <v>5</v>
      </c>
      <c r="B46" s="529" t="str">
        <f>IF(編成!Q4="","",編成!Q4)</f>
        <v>FC小松
1st</v>
      </c>
      <c r="C46" s="544">
        <f>IF(E48="","",E47+E48)</f>
        <v>0</v>
      </c>
      <c r="D46" s="537"/>
      <c r="E46" s="537"/>
      <c r="F46" s="9" t="str">
        <f>IF(E48="","",IF(C46=G46,"△",IF(C46&gt;G46,"○","●")))</f>
        <v>●</v>
      </c>
      <c r="G46" s="537">
        <f>IF(G48="","",G47+G48)</f>
        <v>10</v>
      </c>
      <c r="H46" s="537"/>
      <c r="I46" s="542"/>
      <c r="J46" s="544">
        <f>IF(L48="","",L47+L48)</f>
        <v>1</v>
      </c>
      <c r="K46" s="537"/>
      <c r="L46" s="537"/>
      <c r="M46" s="9" t="str">
        <f>IF(L48="","",IF(J46=N46,"△",IF(J46&gt;N46,"○","●")))</f>
        <v>●</v>
      </c>
      <c r="N46" s="537">
        <f>IF(N48="","",N47+N48)</f>
        <v>2</v>
      </c>
      <c r="O46" s="537"/>
      <c r="P46" s="542"/>
      <c r="Q46" s="544">
        <f>IF(S48="","",S47+S48)</f>
        <v>1</v>
      </c>
      <c r="R46" s="537"/>
      <c r="S46" s="537"/>
      <c r="T46" s="9" t="str">
        <f>IF(S48="","",IF(Q46=U46,"△",IF(Q46&gt;U46,"○","●")))</f>
        <v>●</v>
      </c>
      <c r="U46" s="537">
        <f>IF(U48="","",U47+U48)</f>
        <v>2</v>
      </c>
      <c r="V46" s="537"/>
      <c r="W46" s="542"/>
      <c r="X46" s="544">
        <f>IF(Z48="","",Z47+Z48)</f>
        <v>0</v>
      </c>
      <c r="Y46" s="537"/>
      <c r="Z46" s="537"/>
      <c r="AA46" s="9" t="str">
        <f>IF(Z48="","",IF(X46=AB46,"△",IF(X46&gt;AB46,"○","●")))</f>
        <v>●</v>
      </c>
      <c r="AB46" s="537">
        <f>IF(AB48="","",AB47+AB48)</f>
        <v>1</v>
      </c>
      <c r="AC46" s="537"/>
      <c r="AD46" s="542"/>
      <c r="AE46" s="5"/>
      <c r="AF46" s="85"/>
      <c r="AG46" s="85"/>
      <c r="AH46" s="85"/>
      <c r="AI46" s="85"/>
      <c r="AJ46" s="85"/>
      <c r="AK46" s="6"/>
      <c r="AL46" s="548">
        <f>IF(AN47="","",INDEX(記入!$A$7:$Q$62,MATCH(VALUE($A46&amp;AL$3&amp;1),記入!$A$7:$A$62,0),9))</f>
        <v>0</v>
      </c>
      <c r="AM46" s="532"/>
      <c r="AN46" s="532"/>
      <c r="AO46" s="1" t="str">
        <f>IF(AN48="","",IF(AL46=AP46,"△",IF(AL46&gt;AP46,"○","●")))</f>
        <v>●</v>
      </c>
      <c r="AP46" s="532">
        <f>IF(AN47="","",INDEX(記入!$A$7:$Q$62,MATCH(VALUE($A46&amp;AL$3&amp;1),記入!$A$7:$A$62,0),15))</f>
        <v>1</v>
      </c>
      <c r="AQ46" s="532"/>
      <c r="AR46" s="539"/>
      <c r="AS46" s="548">
        <f>IF(AU47="","",INDEX(記入!$A$7:$Q$62,MATCH(VALUE($A46&amp;AS$3&amp;1),記入!$A$7:$A$62,0),9))</f>
        <v>0</v>
      </c>
      <c r="AT46" s="532"/>
      <c r="AU46" s="532"/>
      <c r="AV46" s="1" t="str">
        <f>IF(AU48="","",IF(AS46=AW46,"△",IF(AS46&gt;AW46,"○","●")))</f>
        <v>●</v>
      </c>
      <c r="AW46" s="532">
        <f>IF(AU47="","",INDEX(記入!$A$7:$Q$62,MATCH(VALUE($A46&amp;AS$3&amp;1),記入!$A$7:$A$62,0),15))</f>
        <v>1</v>
      </c>
      <c r="AX46" s="532"/>
      <c r="AY46" s="539"/>
      <c r="AZ46" s="548">
        <f>IF(BB47="","",INDEX(記入!$A$7:$Q$62,MATCH(VALUE($A46&amp;AZ$3&amp;1),記入!$A$7:$A$62,0),9))</f>
        <v>6</v>
      </c>
      <c r="BA46" s="532"/>
      <c r="BB46" s="532"/>
      <c r="BC46" s="1" t="str">
        <f>IF(BB48="","",IF(AZ46=BD46,"△",IF(AZ46&gt;BD46,"○","●")))</f>
        <v>○</v>
      </c>
      <c r="BD46" s="532">
        <f>IF(BB47="","",INDEX(記入!$A$7:$Q$62,MATCH(VALUE($A46&amp;AZ$3&amp;1),記入!$A$7:$A$62,0),15))</f>
        <v>0</v>
      </c>
      <c r="BE46" s="532"/>
      <c r="BF46" s="539"/>
      <c r="BG46" s="588">
        <f>IF(COUNT(C47:BF47)=0,"",COUNTIF(AH$6:AH$85,"●")*3+COUNTIF(AH$6:AH$85,"△"))</f>
        <v>3</v>
      </c>
      <c r="BH46" s="560">
        <f>IF(BG46="","",SUM(AI$6:AI$85)/2)</f>
        <v>10</v>
      </c>
      <c r="BI46" s="560">
        <f>IF(BG46="","",SUM(AE$6:AE$85))</f>
        <v>31</v>
      </c>
      <c r="BJ46" s="583">
        <f>IF(BG46="","",BH46-BI46)</f>
        <v>-21</v>
      </c>
      <c r="BK46" s="569">
        <f>IF(BG46="","",RANK(BL46,BL$6:BL$85))</f>
        <v>7</v>
      </c>
      <c r="BL46" s="47">
        <f>IF(BG46="",-ROW()*10000,BG46*10000+BJ46*100+BH46+COUNTIF(C46:BF46,"&gt;=0")/20)</f>
        <v>27910.7</v>
      </c>
      <c r="BM46" s="580">
        <f>RANK(BL46,BL$6:BL$85)</f>
        <v>7</v>
      </c>
      <c r="BN46" s="1">
        <v>41</v>
      </c>
      <c r="BO46" s="118">
        <f>IF(BG46="",-ROW()*10000,BG46*10000+BJ46*100+BH46+COUNTIF(C46:BF46,"&gt;=0")/20-ROW()/1000)</f>
        <v>27910.654000000002</v>
      </c>
      <c r="BP46" s="577">
        <f>RANK(BO46,BO$6:BO$85)</f>
        <v>7</v>
      </c>
    </row>
    <row r="47" spans="1:68" ht="10.5" customHeight="1" x14ac:dyDescent="0.25">
      <c r="A47" s="528"/>
      <c r="B47" s="530"/>
      <c r="C47" s="2"/>
      <c r="D47" s="5"/>
      <c r="E47" s="15">
        <f>IF(AI7="","",AI7)</f>
        <v>0</v>
      </c>
      <c r="F47" s="3" t="s">
        <v>199</v>
      </c>
      <c r="G47" s="16">
        <f>IF(AG7="","",AG7)</f>
        <v>5</v>
      </c>
      <c r="H47" s="6"/>
      <c r="I47" s="4"/>
      <c r="J47" s="2"/>
      <c r="K47" s="5"/>
      <c r="L47" s="15">
        <f>IF(AI17="","",AI17)</f>
        <v>0</v>
      </c>
      <c r="M47" s="3" t="s">
        <v>199</v>
      </c>
      <c r="N47" s="16">
        <f>IF(AG17="","",AG17)</f>
        <v>0</v>
      </c>
      <c r="O47" s="6"/>
      <c r="P47" s="4"/>
      <c r="Q47" s="2"/>
      <c r="R47" s="5"/>
      <c r="S47" s="15">
        <f>IF(AI27="","",AI27)</f>
        <v>0</v>
      </c>
      <c r="T47" s="3" t="s">
        <v>199</v>
      </c>
      <c r="U47" s="16">
        <f>IF(AG27="","",AG27)</f>
        <v>0</v>
      </c>
      <c r="V47" s="6"/>
      <c r="W47" s="4"/>
      <c r="X47" s="2"/>
      <c r="Y47" s="5"/>
      <c r="Z47" s="15">
        <f>IF(AI37="","",AI37)</f>
        <v>0</v>
      </c>
      <c r="AA47" s="3" t="s">
        <v>199</v>
      </c>
      <c r="AB47" s="16">
        <f>IF(AG37="","",AG37)</f>
        <v>0</v>
      </c>
      <c r="AC47" s="6"/>
      <c r="AD47" s="4"/>
      <c r="AE47" s="2"/>
      <c r="AF47" s="3"/>
      <c r="AG47" s="3"/>
      <c r="AH47" s="3"/>
      <c r="AI47" s="3"/>
      <c r="AJ47" s="3"/>
      <c r="AK47" s="4"/>
      <c r="AL47" s="2"/>
      <c r="AM47" s="5"/>
      <c r="AN47" s="15">
        <f>IF(AM49="","",IF(INDEX(記入!$A$7:$Q$62,MATCH(VALUE($A46&amp;AL$3&amp;1),記入!$A$7:$A$62,0),11)="","",INDEX(記入!$A$7:$Q$62,MATCH(VALUE($A46&amp;AL$3&amp;1),記入!$A$7:$A$62,0),11)))</f>
        <v>0</v>
      </c>
      <c r="AO47" s="3" t="s">
        <v>199</v>
      </c>
      <c r="AP47" s="16">
        <f>IF(AN47="","",INDEX(記入!$A$7:$Q$62,MATCH(VALUE($A46&amp;AL$3&amp;1),記入!$A$7:$A$62,0),13))</f>
        <v>0</v>
      </c>
      <c r="AQ47" s="6"/>
      <c r="AR47" s="4"/>
      <c r="AS47" s="2"/>
      <c r="AT47" s="5"/>
      <c r="AU47" s="15">
        <f>IF(AT49="","",IF(INDEX(記入!$A$7:$Q$62,MATCH(VALUE($A46&amp;AS$3&amp;1),記入!$A$7:$A$62,0),11)="","",INDEX(記入!$A$7:$Q$62,MATCH(VALUE($A46&amp;AS$3&amp;1),記入!$A$7:$A$62,0),11)))</f>
        <v>0</v>
      </c>
      <c r="AV47" s="3" t="s">
        <v>199</v>
      </c>
      <c r="AW47" s="16">
        <f>IF(AU47="","",INDEX(記入!$A$7:$Q$62,MATCH(VALUE($A46&amp;AS$3&amp;1),記入!$A$7:$A$62,0),13))</f>
        <v>0</v>
      </c>
      <c r="AX47" s="6"/>
      <c r="AY47" s="4"/>
      <c r="AZ47" s="2"/>
      <c r="BA47" s="5"/>
      <c r="BB47" s="15">
        <f>IF(BA49="","",IF(INDEX(記入!$A$7:$Q$62,MATCH(VALUE($A46&amp;AZ$3&amp;1),記入!$A$7:$A$62,0),11)="","",INDEX(記入!$A$7:$Q$62,MATCH(VALUE($A46&amp;AZ$3&amp;1),記入!$A$7:$A$62,0),11)))</f>
        <v>2</v>
      </c>
      <c r="BC47" s="3" t="s">
        <v>199</v>
      </c>
      <c r="BD47" s="16">
        <f>IF(BB47="","",INDEX(記入!$A$7:$Q$62,MATCH(VALUE($A46&amp;AZ$3&amp;1),記入!$A$7:$A$62,0),13))</f>
        <v>0</v>
      </c>
      <c r="BE47" s="6"/>
      <c r="BF47" s="4"/>
      <c r="BG47" s="573"/>
      <c r="BH47" s="561"/>
      <c r="BI47" s="561"/>
      <c r="BJ47" s="575"/>
      <c r="BK47" s="570"/>
      <c r="BL47" s="47"/>
      <c r="BM47" s="581"/>
      <c r="BO47" s="117"/>
      <c r="BP47" s="578"/>
    </row>
    <row r="48" spans="1:68" ht="10.5" customHeight="1" x14ac:dyDescent="0.25">
      <c r="A48" s="528"/>
      <c r="B48" s="530"/>
      <c r="C48" s="2"/>
      <c r="D48" s="7"/>
      <c r="E48" s="15">
        <f>IF(AI8="","",AI8)</f>
        <v>0</v>
      </c>
      <c r="F48" s="3" t="s">
        <v>199</v>
      </c>
      <c r="G48" s="16">
        <f>IF(AG8="","",AG8)</f>
        <v>5</v>
      </c>
      <c r="H48" s="8"/>
      <c r="I48" s="4"/>
      <c r="J48" s="2"/>
      <c r="K48" s="7"/>
      <c r="L48" s="15">
        <f>IF(AI18="","",AI18)</f>
        <v>1</v>
      </c>
      <c r="M48" s="3" t="s">
        <v>199</v>
      </c>
      <c r="N48" s="16">
        <f>IF(AG18="","",AG18)</f>
        <v>2</v>
      </c>
      <c r="O48" s="8"/>
      <c r="P48" s="4"/>
      <c r="Q48" s="2"/>
      <c r="R48" s="7"/>
      <c r="S48" s="15">
        <f>IF(AI28="","",AI28)</f>
        <v>1</v>
      </c>
      <c r="T48" s="3" t="s">
        <v>199</v>
      </c>
      <c r="U48" s="16">
        <f>IF(AG28="","",AG28)</f>
        <v>2</v>
      </c>
      <c r="V48" s="8"/>
      <c r="W48" s="4"/>
      <c r="X48" s="2"/>
      <c r="Y48" s="7"/>
      <c r="Z48" s="15">
        <f>IF(AI38="","",AI38)</f>
        <v>0</v>
      </c>
      <c r="AA48" s="3" t="s">
        <v>199</v>
      </c>
      <c r="AB48" s="16">
        <f>IF(AG38="","",AG38)</f>
        <v>1</v>
      </c>
      <c r="AC48" s="8"/>
      <c r="AD48" s="4"/>
      <c r="AE48" s="2"/>
      <c r="AF48" s="3"/>
      <c r="AG48" s="3"/>
      <c r="AH48" s="3"/>
      <c r="AI48" s="3"/>
      <c r="AJ48" s="3"/>
      <c r="AK48" s="4"/>
      <c r="AL48" s="2"/>
      <c r="AM48" s="7"/>
      <c r="AN48" s="15">
        <f>IF(AN47="","",AL46-AN47)</f>
        <v>0</v>
      </c>
      <c r="AO48" s="3" t="s">
        <v>199</v>
      </c>
      <c r="AP48" s="16">
        <f>IF(AP47="","",AP46-AP47)</f>
        <v>1</v>
      </c>
      <c r="AQ48" s="8"/>
      <c r="AR48" s="4"/>
      <c r="AS48" s="2"/>
      <c r="AT48" s="7"/>
      <c r="AU48" s="15">
        <f>IF(AU47="","",AS46-AU47)</f>
        <v>0</v>
      </c>
      <c r="AV48" s="3" t="s">
        <v>199</v>
      </c>
      <c r="AW48" s="16">
        <f>IF(AW47="","",AW46-AW47)</f>
        <v>1</v>
      </c>
      <c r="AX48" s="8"/>
      <c r="AY48" s="4"/>
      <c r="AZ48" s="2"/>
      <c r="BA48" s="7"/>
      <c r="BB48" s="15">
        <f>IF(BB47="","",AZ46-BB47)</f>
        <v>4</v>
      </c>
      <c r="BC48" s="3" t="s">
        <v>199</v>
      </c>
      <c r="BD48" s="16">
        <f>IF(BD47="","",BD46-BD47)</f>
        <v>0</v>
      </c>
      <c r="BE48" s="8"/>
      <c r="BF48" s="4"/>
      <c r="BG48" s="573"/>
      <c r="BH48" s="561"/>
      <c r="BI48" s="561"/>
      <c r="BJ48" s="575"/>
      <c r="BK48" s="570"/>
      <c r="BL48" s="47"/>
      <c r="BM48" s="581"/>
      <c r="BO48" s="117"/>
      <c r="BP48" s="578"/>
    </row>
    <row r="49" spans="1:68" ht="11.25" customHeight="1" x14ac:dyDescent="0.25">
      <c r="A49" s="528"/>
      <c r="B49" s="530"/>
      <c r="C49" s="51"/>
      <c r="D49" s="532" t="str">
        <f>IF(C50="","",AF9)</f>
        <v>②</v>
      </c>
      <c r="E49" s="532"/>
      <c r="F49" s="540">
        <f>IF(C50="","",AH9)</f>
        <v>42493</v>
      </c>
      <c r="G49" s="540"/>
      <c r="H49" s="540"/>
      <c r="I49" s="541"/>
      <c r="J49" s="51"/>
      <c r="K49" s="532" t="str">
        <f>IF(J50="","",AF19)</f>
        <v>⑥</v>
      </c>
      <c r="L49" s="532"/>
      <c r="M49" s="540">
        <f>IF(J50="","",AH19)</f>
        <v>42518</v>
      </c>
      <c r="N49" s="540"/>
      <c r="O49" s="540"/>
      <c r="P49" s="541"/>
      <c r="Q49" s="51"/>
      <c r="R49" s="532" t="str">
        <f>IF(Q50="","",AF29)</f>
        <v>③</v>
      </c>
      <c r="S49" s="532"/>
      <c r="T49" s="540">
        <f>IF(Q50="","",AH29)</f>
        <v>42498</v>
      </c>
      <c r="U49" s="540"/>
      <c r="V49" s="540"/>
      <c r="W49" s="541"/>
      <c r="X49" s="51"/>
      <c r="Y49" s="532" t="str">
        <f>IF(X50="","",AF39)</f>
        <v>⑦</v>
      </c>
      <c r="Z49" s="532"/>
      <c r="AA49" s="540">
        <f>IF(X50="","",AH39)</f>
        <v>42546</v>
      </c>
      <c r="AB49" s="540"/>
      <c r="AC49" s="540"/>
      <c r="AD49" s="541"/>
      <c r="AE49" s="2"/>
      <c r="AF49" s="3"/>
      <c r="AG49" s="3"/>
      <c r="AH49" s="3"/>
      <c r="AI49" s="3"/>
      <c r="AJ49" s="3"/>
      <c r="AK49" s="4"/>
      <c r="AL49" s="80"/>
      <c r="AM49" s="532" t="str">
        <f>IF(COUNT(MATCH(VALUE($A46&amp;AL$3&amp;1),記入!$A$7:$A$62,0))=0,"",INDEX(記入!$A$7:$Q$62,MATCH(VALUE($A46&amp;AL$3&amp;1),記入!$A$7:$A$62,0),3))</f>
        <v>①</v>
      </c>
      <c r="AN49" s="532"/>
      <c r="AO49" s="546">
        <f>IF(AM49="","",INDEX(記入!$A$7:$Q$62,MATCH(VALUE($A46&amp;AL$3&amp;1),記入!$A$7:$A$62,0),4))</f>
        <v>42489</v>
      </c>
      <c r="AP49" s="546"/>
      <c r="AQ49" s="546"/>
      <c r="AR49" s="547"/>
      <c r="AS49" s="80"/>
      <c r="AT49" s="532" t="str">
        <f>IF(COUNT(MATCH(VALUE($A46&amp;AS$3&amp;1),記入!$A$7:$A$62,0))=0,"",INDEX(記入!$A$7:$Q$62,MATCH(VALUE($A46&amp;AS$3&amp;1),記入!$A$7:$A$62,0),3))</f>
        <v>⑤</v>
      </c>
      <c r="AU49" s="532"/>
      <c r="AV49" s="546">
        <f>IF(AT49="","",INDEX(記入!$A$7:$Q$62,MATCH(VALUE($A46&amp;AS$3&amp;1),記入!$A$7:$A$62,0),4))</f>
        <v>42512</v>
      </c>
      <c r="AW49" s="546"/>
      <c r="AX49" s="546"/>
      <c r="AY49" s="547"/>
      <c r="AZ49" s="80"/>
      <c r="BA49" s="532" t="str">
        <f>IF(COUNT(MATCH(VALUE($A46&amp;AZ$3&amp;1),記入!$A$7:$A$62,0))=0,"",INDEX(記入!$A$7:$Q$62,MATCH(VALUE($A46&amp;AZ$3&amp;1),記入!$A$7:$A$62,0),3))</f>
        <v>⑦</v>
      </c>
      <c r="BB49" s="532"/>
      <c r="BC49" s="546">
        <f>IF(BA49="","",INDEX(記入!$A$7:$Q$62,MATCH(VALUE($A46&amp;AZ$3&amp;1),記入!$A$7:$A$62,0),4))</f>
        <v>42553</v>
      </c>
      <c r="BD49" s="546"/>
      <c r="BE49" s="546"/>
      <c r="BF49" s="547"/>
      <c r="BG49" s="573"/>
      <c r="BH49" s="561"/>
      <c r="BI49" s="561"/>
      <c r="BJ49" s="575"/>
      <c r="BK49" s="570"/>
      <c r="BL49" s="47"/>
      <c r="BM49" s="581"/>
      <c r="BO49" s="117"/>
      <c r="BP49" s="578"/>
    </row>
    <row r="50" spans="1:68" ht="11.25" customHeight="1" x14ac:dyDescent="0.25">
      <c r="A50" s="528"/>
      <c r="B50" s="530"/>
      <c r="C50" s="543" t="str">
        <f>IF(AE10="","",AE10)</f>
        <v>金沢交流</v>
      </c>
      <c r="D50" s="534"/>
      <c r="E50" s="534"/>
      <c r="F50" s="534"/>
      <c r="G50" s="534"/>
      <c r="H50" s="534"/>
      <c r="I50" s="535"/>
      <c r="J50" s="543" t="str">
        <f>IF(AE20="","",AE20)</f>
        <v>金沢市民</v>
      </c>
      <c r="K50" s="534"/>
      <c r="L50" s="534"/>
      <c r="M50" s="534"/>
      <c r="N50" s="534"/>
      <c r="O50" s="534"/>
      <c r="P50" s="535"/>
      <c r="Q50" s="543" t="str">
        <f>IF(AE30="","",AE30)</f>
        <v>金沢交流</v>
      </c>
      <c r="R50" s="534"/>
      <c r="S50" s="534"/>
      <c r="T50" s="534"/>
      <c r="U50" s="534"/>
      <c r="V50" s="534"/>
      <c r="W50" s="535"/>
      <c r="X50" s="543" t="str">
        <f>IF(AE40="","",AE40)</f>
        <v>加賀陸上</v>
      </c>
      <c r="Y50" s="534"/>
      <c r="Z50" s="534"/>
      <c r="AA50" s="534"/>
      <c r="AB50" s="534"/>
      <c r="AC50" s="534"/>
      <c r="AD50" s="535"/>
      <c r="AE50" s="2"/>
      <c r="AF50" s="3"/>
      <c r="AG50" s="3"/>
      <c r="AH50" s="3"/>
      <c r="AI50" s="3"/>
      <c r="AJ50" s="3"/>
      <c r="AK50" s="4"/>
      <c r="AL50" s="548" t="str">
        <f>IF(AM49="","",INDEX(記入!$A$7:$Q$62,MATCH(VALUE($A46&amp;AL$3&amp;1),記入!$A$7:$A$62,0),6))</f>
        <v>星稜ｻｯｶｰ場</v>
      </c>
      <c r="AM50" s="532"/>
      <c r="AN50" s="532"/>
      <c r="AO50" s="532"/>
      <c r="AP50" s="532"/>
      <c r="AQ50" s="532"/>
      <c r="AR50" s="539"/>
      <c r="AS50" s="548" t="str">
        <f>IF(AT49="","",INDEX(記入!$A$7:$Q$62,MATCH(VALUE($A46&amp;AS$3&amp;1),記入!$A$7:$A$62,0),6))</f>
        <v>加賀陸上</v>
      </c>
      <c r="AT50" s="532"/>
      <c r="AU50" s="532"/>
      <c r="AV50" s="532"/>
      <c r="AW50" s="532"/>
      <c r="AX50" s="532"/>
      <c r="AY50" s="539"/>
      <c r="AZ50" s="548" t="str">
        <f>IF(BA49="","",INDEX(記入!$A$7:$Q$62,MATCH(VALUE($A46&amp;AZ$3&amp;1),記入!$A$7:$A$62,0),6))</f>
        <v>金沢市民</v>
      </c>
      <c r="BA50" s="532"/>
      <c r="BB50" s="532"/>
      <c r="BC50" s="532"/>
      <c r="BD50" s="532"/>
      <c r="BE50" s="532"/>
      <c r="BF50" s="539"/>
      <c r="BG50" s="573"/>
      <c r="BH50" s="561"/>
      <c r="BI50" s="561"/>
      <c r="BJ50" s="575"/>
      <c r="BK50" s="570"/>
      <c r="BL50" s="47"/>
      <c r="BM50" s="581"/>
      <c r="BO50" s="117"/>
      <c r="BP50" s="578"/>
    </row>
    <row r="51" spans="1:68" ht="11.25" customHeight="1" x14ac:dyDescent="0.25">
      <c r="A51" s="528"/>
      <c r="B51" s="530"/>
      <c r="C51" s="544">
        <f>IF(E53="","",E52+E53)</f>
        <v>0</v>
      </c>
      <c r="D51" s="537"/>
      <c r="E51" s="537"/>
      <c r="F51" s="9" t="str">
        <f>IF(E53="","",IF(C51=G51,"△",IF(C51&gt;G51,"○","●")))</f>
        <v>●</v>
      </c>
      <c r="G51" s="537">
        <f>IF(G53="","",G52+G53)</f>
        <v>3</v>
      </c>
      <c r="H51" s="537"/>
      <c r="I51" s="542"/>
      <c r="J51" s="544" t="str">
        <f>IF(L53="","",L52+L53)</f>
        <v/>
      </c>
      <c r="K51" s="537"/>
      <c r="L51" s="537"/>
      <c r="M51" s="9" t="str">
        <f>IF(L53="","",IF(J51=N51,"△",IF(J51&gt;N51,"○","●")))</f>
        <v/>
      </c>
      <c r="N51" s="537" t="str">
        <f>IF(N53="","",N52+N53)</f>
        <v/>
      </c>
      <c r="O51" s="537"/>
      <c r="P51" s="542"/>
      <c r="Q51" s="544">
        <f>IF(S53="","",S52+S53)</f>
        <v>1</v>
      </c>
      <c r="R51" s="537"/>
      <c r="S51" s="537"/>
      <c r="T51" s="9" t="str">
        <f>IF(S53="","",IF(Q51=U51,"△",IF(Q51&gt;U51,"○","●")))</f>
        <v>●</v>
      </c>
      <c r="U51" s="537">
        <f>IF(U53="","",U52+U53)</f>
        <v>3</v>
      </c>
      <c r="V51" s="537"/>
      <c r="W51" s="542"/>
      <c r="X51" s="544" t="str">
        <f>IF(Z53="","",Z52+Z53)</f>
        <v/>
      </c>
      <c r="Y51" s="537"/>
      <c r="Z51" s="537"/>
      <c r="AA51" s="9" t="str">
        <f>IF(Z53="","",IF(X51=AB51,"△",IF(X51&gt;AB51,"○","●")))</f>
        <v/>
      </c>
      <c r="AB51" s="537" t="str">
        <f>IF(AB53="","",AB52+AB53)</f>
        <v/>
      </c>
      <c r="AC51" s="537"/>
      <c r="AD51" s="542"/>
      <c r="AE51" s="2"/>
      <c r="AF51" s="3"/>
      <c r="AG51" s="3"/>
      <c r="AH51" s="3"/>
      <c r="AI51" s="3"/>
      <c r="AJ51" s="3"/>
      <c r="AK51" s="4"/>
      <c r="AL51" s="544">
        <f>IF(AN52="","",INDEX(記入!$A$7:$Q$62,MATCH(VALUE($A46&amp;AL$3&amp;2),記入!$A$7:$A$62,0),9))</f>
        <v>0</v>
      </c>
      <c r="AM51" s="537"/>
      <c r="AN51" s="537"/>
      <c r="AO51" s="9" t="str">
        <f>IF(AN53="","",IF(AL51=AP51,"△",IF(AL51&gt;AP51,"○","●")))</f>
        <v>●</v>
      </c>
      <c r="AP51" s="537">
        <f>IF(AN52="","",INDEX(記入!$A$7:$Q$62,MATCH(VALUE($A46&amp;AL$3&amp;2),記入!$A$7:$A$62,0),15))</f>
        <v>4</v>
      </c>
      <c r="AQ51" s="537"/>
      <c r="AR51" s="542"/>
      <c r="AS51" s="544">
        <f>IF(AU52="","",INDEX(記入!$A$7:$Q$62,MATCH(VALUE($A46&amp;AS$3&amp;2),記入!$A$7:$A$62,0),9))</f>
        <v>1</v>
      </c>
      <c r="AT51" s="537"/>
      <c r="AU51" s="537"/>
      <c r="AV51" s="9" t="str">
        <f>IF(AU53="","",IF(AS51=AW51,"△",IF(AS51&gt;AW51,"○","●")))</f>
        <v>●</v>
      </c>
      <c r="AW51" s="537">
        <f>IF(AU52="","",INDEX(記入!$A$7:$Q$62,MATCH(VALUE($A46&amp;AS$3&amp;2),記入!$A$7:$A$62,0),15))</f>
        <v>4</v>
      </c>
      <c r="AX51" s="537"/>
      <c r="AY51" s="542"/>
      <c r="AZ51" s="544" t="str">
        <f>IF(BB52="","",INDEX(記入!$A$7:$Q$62,MATCH(VALUE($A46&amp;AZ$3&amp;2),記入!$A$7:$A$62,0),9))</f>
        <v/>
      </c>
      <c r="BA51" s="537"/>
      <c r="BB51" s="537"/>
      <c r="BC51" s="9" t="str">
        <f>IF(BB53="","",IF(AZ51=BD51,"△",IF(AZ51&gt;BD51,"○","●")))</f>
        <v/>
      </c>
      <c r="BD51" s="537" t="str">
        <f>IF(BB52="","",INDEX(記入!$A$7:$Q$62,MATCH(VALUE($A46&amp;AZ$3&amp;2),記入!$A$7:$A$62,0),15))</f>
        <v/>
      </c>
      <c r="BE51" s="537"/>
      <c r="BF51" s="542"/>
      <c r="BG51" s="573"/>
      <c r="BH51" s="561"/>
      <c r="BI51" s="561"/>
      <c r="BJ51" s="575"/>
      <c r="BK51" s="570"/>
      <c r="BL51" s="47"/>
      <c r="BM51" s="581"/>
      <c r="BO51" s="117"/>
      <c r="BP51" s="578"/>
    </row>
    <row r="52" spans="1:68" ht="11.25" customHeight="1" x14ac:dyDescent="0.25">
      <c r="A52" s="528"/>
      <c r="B52" s="530"/>
      <c r="C52" s="2"/>
      <c r="D52" s="5"/>
      <c r="E52" s="15">
        <f>IF(AI12="","",AI12)</f>
        <v>1</v>
      </c>
      <c r="F52" s="3" t="s">
        <v>199</v>
      </c>
      <c r="G52" s="16">
        <f>IF(AG12="","",AG12)</f>
        <v>2</v>
      </c>
      <c r="H52" s="6"/>
      <c r="I52" s="4"/>
      <c r="J52" s="2"/>
      <c r="K52" s="5"/>
      <c r="L52" s="15" t="str">
        <f>IF(AI22="","",AI22)</f>
        <v/>
      </c>
      <c r="M52" s="3" t="s">
        <v>199</v>
      </c>
      <c r="N52" s="16" t="str">
        <f>IF(AG22="","",AG22)</f>
        <v/>
      </c>
      <c r="O52" s="6"/>
      <c r="P52" s="4"/>
      <c r="Q52" s="2"/>
      <c r="R52" s="5"/>
      <c r="S52" s="15">
        <f>IF(AI32="","",AI32)</f>
        <v>0</v>
      </c>
      <c r="T52" s="3" t="s">
        <v>199</v>
      </c>
      <c r="U52" s="16">
        <f>IF(AG32="","",AG32)</f>
        <v>2</v>
      </c>
      <c r="V52" s="6"/>
      <c r="W52" s="4"/>
      <c r="X52" s="2"/>
      <c r="Y52" s="5"/>
      <c r="Z52" s="15" t="str">
        <f>IF(AI42="","",AI42)</f>
        <v/>
      </c>
      <c r="AA52" s="3" t="s">
        <v>199</v>
      </c>
      <c r="AB52" s="16" t="str">
        <f>IF(AG42="","",AG42)</f>
        <v/>
      </c>
      <c r="AC52" s="6"/>
      <c r="AD52" s="4"/>
      <c r="AE52" s="2"/>
      <c r="AF52" s="3"/>
      <c r="AG52" s="3"/>
      <c r="AH52" s="3"/>
      <c r="AI52" s="3"/>
      <c r="AJ52" s="3"/>
      <c r="AK52" s="4"/>
      <c r="AL52" s="2"/>
      <c r="AM52" s="5"/>
      <c r="AN52" s="15">
        <f>IF(AM54="","",IF(INDEX(記入!$A$7:$Q$62,MATCH(VALUE($A46&amp;AL$3&amp;2),記入!$A$7:$A$62,0),11)="","",INDEX(記入!$A$7:$Q$62,MATCH(VALUE($A46&amp;AL$3&amp;2),記入!$A$7:$A$62,0),11)))</f>
        <v>0</v>
      </c>
      <c r="AO52" s="3" t="s">
        <v>199</v>
      </c>
      <c r="AP52" s="16">
        <f>IF(AN52="","",INDEX(記入!$A$7:$Q$62,MATCH(VALUE($A46&amp;AL$3&amp;2),記入!$A$7:$A$62,0),13))</f>
        <v>1</v>
      </c>
      <c r="AQ52" s="6"/>
      <c r="AR52" s="4"/>
      <c r="AS52" s="2"/>
      <c r="AT52" s="5"/>
      <c r="AU52" s="15">
        <f>IF(AT54="","",IF(INDEX(記入!$A$7:$Q$62,MATCH(VALUE($A46&amp;AS$3&amp;2),記入!$A$7:$A$62,0),11)="","",INDEX(記入!$A$7:$Q$62,MATCH(VALUE($A46&amp;AS$3&amp;2),記入!$A$7:$A$62,0),11)))</f>
        <v>1</v>
      </c>
      <c r="AV52" s="3" t="s">
        <v>199</v>
      </c>
      <c r="AW52" s="16">
        <f>IF(AU52="","",INDEX(記入!$A$7:$Q$62,MATCH(VALUE($A46&amp;AS$3&amp;2),記入!$A$7:$A$62,0),13))</f>
        <v>2</v>
      </c>
      <c r="AX52" s="6"/>
      <c r="AY52" s="4"/>
      <c r="AZ52" s="2"/>
      <c r="BA52" s="5"/>
      <c r="BB52" s="15" t="str">
        <f>IF(BA54="","",IF(INDEX(記入!$A$7:$Q$62,MATCH(VALUE($A46&amp;AZ$3&amp;2),記入!$A$7:$A$62,0),11)="","",INDEX(記入!$A$7:$Q$62,MATCH(VALUE($A46&amp;AZ$3&amp;2),記入!$A$7:$A$62,0),11)))</f>
        <v/>
      </c>
      <c r="BC52" s="3" t="s">
        <v>199</v>
      </c>
      <c r="BD52" s="16" t="str">
        <f>IF(BB52="","",INDEX(記入!$A$7:$Q$62,MATCH(VALUE($A46&amp;AZ$3&amp;2),記入!$A$7:$A$62,0),13))</f>
        <v/>
      </c>
      <c r="BE52" s="6"/>
      <c r="BF52" s="4"/>
      <c r="BG52" s="573"/>
      <c r="BH52" s="561"/>
      <c r="BI52" s="561"/>
      <c r="BJ52" s="575"/>
      <c r="BK52" s="570"/>
      <c r="BL52" s="47"/>
      <c r="BM52" s="581"/>
      <c r="BO52" s="117"/>
      <c r="BP52" s="578"/>
    </row>
    <row r="53" spans="1:68" ht="11.25" customHeight="1" x14ac:dyDescent="0.25">
      <c r="A53" s="528"/>
      <c r="B53" s="530"/>
      <c r="C53" s="2"/>
      <c r="D53" s="7"/>
      <c r="E53" s="15">
        <f>IF(AI13="","",AI13)</f>
        <v>-1</v>
      </c>
      <c r="F53" s="3" t="s">
        <v>199</v>
      </c>
      <c r="G53" s="16">
        <f>IF(AG13="","",AG13)</f>
        <v>1</v>
      </c>
      <c r="H53" s="8"/>
      <c r="I53" s="4"/>
      <c r="J53" s="2"/>
      <c r="K53" s="7"/>
      <c r="L53" s="15" t="str">
        <f>IF(AI23="","",AI23)</f>
        <v/>
      </c>
      <c r="M53" s="3" t="s">
        <v>199</v>
      </c>
      <c r="N53" s="16" t="str">
        <f>IF(AG23="","",AG23)</f>
        <v/>
      </c>
      <c r="O53" s="8"/>
      <c r="P53" s="4"/>
      <c r="Q53" s="2"/>
      <c r="R53" s="7"/>
      <c r="S53" s="15">
        <f>IF(AI33="","",AI33)</f>
        <v>1</v>
      </c>
      <c r="T53" s="3" t="s">
        <v>199</v>
      </c>
      <c r="U53" s="16">
        <f>IF(AG33="","",AG33)</f>
        <v>1</v>
      </c>
      <c r="V53" s="8"/>
      <c r="W53" s="4"/>
      <c r="X53" s="2"/>
      <c r="Y53" s="7"/>
      <c r="Z53" s="15" t="str">
        <f>IF(AI43="","",AI43)</f>
        <v/>
      </c>
      <c r="AA53" s="3" t="s">
        <v>199</v>
      </c>
      <c r="AB53" s="16" t="str">
        <f>IF(AG43="","",AG43)</f>
        <v/>
      </c>
      <c r="AC53" s="8"/>
      <c r="AD53" s="4"/>
      <c r="AE53" s="2"/>
      <c r="AF53" s="3"/>
      <c r="AG53" s="3"/>
      <c r="AH53" s="3"/>
      <c r="AI53" s="3"/>
      <c r="AJ53" s="3"/>
      <c r="AK53" s="4"/>
      <c r="AL53" s="2"/>
      <c r="AM53" s="7"/>
      <c r="AN53" s="15">
        <f>IF(AN52="","",AL51-AN52)</f>
        <v>0</v>
      </c>
      <c r="AO53" s="3" t="s">
        <v>199</v>
      </c>
      <c r="AP53" s="16">
        <f>IF(AP52="","",AP51-AP52)</f>
        <v>3</v>
      </c>
      <c r="AQ53" s="8"/>
      <c r="AR53" s="4"/>
      <c r="AS53" s="2"/>
      <c r="AT53" s="7"/>
      <c r="AU53" s="15">
        <f>IF(AU52="","",AS51-AU52)</f>
        <v>0</v>
      </c>
      <c r="AV53" s="3" t="s">
        <v>199</v>
      </c>
      <c r="AW53" s="16">
        <f>IF(AW52="","",AW51-AW52)</f>
        <v>2</v>
      </c>
      <c r="AX53" s="8"/>
      <c r="AY53" s="4"/>
      <c r="AZ53" s="2"/>
      <c r="BA53" s="7"/>
      <c r="BB53" s="15" t="str">
        <f>IF(BB52="","",AZ51-BB52)</f>
        <v/>
      </c>
      <c r="BC53" s="3" t="s">
        <v>199</v>
      </c>
      <c r="BD53" s="16" t="str">
        <f>IF(BD52="","",BD51-BD52)</f>
        <v/>
      </c>
      <c r="BE53" s="8"/>
      <c r="BF53" s="4"/>
      <c r="BG53" s="573"/>
      <c r="BH53" s="561"/>
      <c r="BI53" s="561"/>
      <c r="BJ53" s="575"/>
      <c r="BK53" s="570"/>
      <c r="BL53" s="47"/>
      <c r="BM53" s="581"/>
      <c r="BO53" s="117"/>
      <c r="BP53" s="578"/>
    </row>
    <row r="54" spans="1:68" ht="11.25" customHeight="1" x14ac:dyDescent="0.25">
      <c r="A54" s="528"/>
      <c r="B54" s="530"/>
      <c r="C54" s="51"/>
      <c r="D54" s="532" t="str">
        <f>IF(C55="","",AF14)</f>
        <v>⑨</v>
      </c>
      <c r="E54" s="532"/>
      <c r="F54" s="540">
        <f>IF(C55="","",AH14)</f>
        <v>42581</v>
      </c>
      <c r="G54" s="540"/>
      <c r="H54" s="540"/>
      <c r="I54" s="541"/>
      <c r="J54" s="51"/>
      <c r="K54" s="532" t="str">
        <f>IF(J55="","",AF24)</f>
        <v>②</v>
      </c>
      <c r="L54" s="532"/>
      <c r="M54" s="540">
        <f>IF(J55="","",AH24)</f>
        <v>42658</v>
      </c>
      <c r="N54" s="540"/>
      <c r="O54" s="540"/>
      <c r="P54" s="541"/>
      <c r="Q54" s="51"/>
      <c r="R54" s="532" t="str">
        <f>IF(Q55="","",AF34)</f>
        <v>②</v>
      </c>
      <c r="S54" s="532"/>
      <c r="T54" s="540">
        <f>IF(Q55="","",AH34)</f>
        <v>42645</v>
      </c>
      <c r="U54" s="540"/>
      <c r="V54" s="540"/>
      <c r="W54" s="541"/>
      <c r="X54" s="51"/>
      <c r="Y54" s="532" t="str">
        <f>IF(X55="","",AF44)</f>
        <v>②</v>
      </c>
      <c r="Z54" s="532"/>
      <c r="AA54" s="540">
        <f>IF(X55="","",AH44)</f>
        <v>42673</v>
      </c>
      <c r="AB54" s="540"/>
      <c r="AC54" s="540"/>
      <c r="AD54" s="541"/>
      <c r="AE54" s="2"/>
      <c r="AF54" s="3"/>
      <c r="AG54" s="3"/>
      <c r="AH54" s="3"/>
      <c r="AI54" s="3"/>
      <c r="AJ54" s="3"/>
      <c r="AK54" s="4"/>
      <c r="AL54" s="80"/>
      <c r="AM54" s="532" t="str">
        <f>IF(COUNT(MATCH(VALUE($A46&amp;AL$3&amp;2),記入!$A$7:$A$62,0))=0,"",INDEX(記入!$A$7:$Q$62,MATCH(VALUE($A46&amp;AL$3&amp;2),記入!$A$7:$A$62,0),3))</f>
        <v>⑨</v>
      </c>
      <c r="AN54" s="532"/>
      <c r="AO54" s="546">
        <f>IF(AM54="","",INDEX(記入!$A$7:$Q$62,MATCH(VALUE($A46&amp;AL$3&amp;2),記入!$A$7:$A$62,0),4))</f>
        <v>42588</v>
      </c>
      <c r="AP54" s="546"/>
      <c r="AQ54" s="546"/>
      <c r="AR54" s="547"/>
      <c r="AS54" s="80"/>
      <c r="AT54" s="532" t="str">
        <f>IF(COUNT(MATCH(VALUE($A46&amp;AS$3&amp;2),記入!$A$7:$A$62,0))=0,"",INDEX(記入!$A$7:$Q$62,MATCH(VALUE($A46&amp;AS$3&amp;2),記入!$A$7:$A$62,0),3))</f>
        <v>②</v>
      </c>
      <c r="AU54" s="532"/>
      <c r="AV54" s="546">
        <f>IF(AT54="","",INDEX(記入!$A$7:$Q$62,MATCH(VALUE($A46&amp;AS$3&amp;2),記入!$A$7:$A$62,0),4))</f>
        <v>42617</v>
      </c>
      <c r="AW54" s="546"/>
      <c r="AX54" s="546"/>
      <c r="AY54" s="547"/>
      <c r="AZ54" s="80"/>
      <c r="BA54" s="532" t="str">
        <f>IF(COUNT(MATCH(VALUE($A46&amp;AZ$3&amp;2),記入!$A$7:$A$62,0))=0,"",INDEX(記入!$A$7:$Q$62,MATCH(VALUE($A46&amp;AZ$3&amp;2),記入!$A$7:$A$62,0),3))</f>
        <v>②</v>
      </c>
      <c r="BB54" s="532"/>
      <c r="BC54" s="546">
        <f>IF(BA54="","",INDEX(記入!$A$7:$Q$62,MATCH(VALUE($A46&amp;AZ$3&amp;2),記入!$A$7:$A$62,0),4))</f>
        <v>42677</v>
      </c>
      <c r="BD54" s="546"/>
      <c r="BE54" s="546"/>
      <c r="BF54" s="547"/>
      <c r="BG54" s="573"/>
      <c r="BH54" s="561"/>
      <c r="BI54" s="561"/>
      <c r="BJ54" s="575"/>
      <c r="BK54" s="570"/>
      <c r="BL54" s="47"/>
      <c r="BM54" s="581"/>
      <c r="BO54" s="117"/>
      <c r="BP54" s="578"/>
    </row>
    <row r="55" spans="1:68" ht="11.25" customHeight="1" x14ac:dyDescent="0.25">
      <c r="A55" s="528"/>
      <c r="B55" s="531"/>
      <c r="C55" s="543" t="str">
        <f>IF(AE15="","",AE15)</f>
        <v>小松市民</v>
      </c>
      <c r="D55" s="534"/>
      <c r="E55" s="534"/>
      <c r="F55" s="534"/>
      <c r="G55" s="534"/>
      <c r="H55" s="534"/>
      <c r="I55" s="535"/>
      <c r="J55" s="543" t="str">
        <f>IF(AE25="","",AE25)</f>
        <v>金沢市民</v>
      </c>
      <c r="K55" s="534"/>
      <c r="L55" s="534"/>
      <c r="M55" s="534"/>
      <c r="N55" s="534"/>
      <c r="O55" s="534"/>
      <c r="P55" s="535"/>
      <c r="Q55" s="543" t="str">
        <f>IF(AE35="","",AE35)</f>
        <v>かほく市S</v>
      </c>
      <c r="R55" s="534"/>
      <c r="S55" s="534"/>
      <c r="T55" s="534"/>
      <c r="U55" s="534"/>
      <c r="V55" s="534"/>
      <c r="W55" s="535"/>
      <c r="X55" s="543" t="str">
        <f>IF(AE45="","",AE45)</f>
        <v>小松市民</v>
      </c>
      <c r="Y55" s="534"/>
      <c r="Z55" s="534"/>
      <c r="AA55" s="534"/>
      <c r="AB55" s="534"/>
      <c r="AC55" s="534"/>
      <c r="AD55" s="535"/>
      <c r="AE55" s="2"/>
      <c r="AF55" s="3"/>
      <c r="AG55" s="3"/>
      <c r="AH55" s="3"/>
      <c r="AI55" s="3"/>
      <c r="AJ55" s="3"/>
      <c r="AK55" s="4"/>
      <c r="AL55" s="543" t="str">
        <f>IF(AM54="","",INDEX(記入!$A$7:$Q$62,MATCH(VALUE($A46&amp;AL$3&amp;2),記入!$A$7:$A$62,0),6))</f>
        <v>金沢交流</v>
      </c>
      <c r="AM55" s="534"/>
      <c r="AN55" s="534"/>
      <c r="AO55" s="534"/>
      <c r="AP55" s="534"/>
      <c r="AQ55" s="534"/>
      <c r="AR55" s="535"/>
      <c r="AS55" s="543" t="str">
        <f>IF(AT54="","",INDEX(記入!$A$7:$Q$62,MATCH(VALUE($A46&amp;AS$3&amp;2),記入!$A$7:$A$62,0),6))</f>
        <v>小松市民</v>
      </c>
      <c r="AT55" s="534"/>
      <c r="AU55" s="534"/>
      <c r="AV55" s="534"/>
      <c r="AW55" s="534"/>
      <c r="AX55" s="534"/>
      <c r="AY55" s="535"/>
      <c r="AZ55" s="543" t="str">
        <f>IF(BA54="","",INDEX(記入!$A$7:$Q$62,MATCH(VALUE($A46&amp;AZ$3&amp;2),記入!$A$7:$A$62,0),6))</f>
        <v>星稜ｻｯｶｰ場</v>
      </c>
      <c r="BA55" s="534"/>
      <c r="BB55" s="534"/>
      <c r="BC55" s="534"/>
      <c r="BD55" s="534"/>
      <c r="BE55" s="534"/>
      <c r="BF55" s="535"/>
      <c r="BG55" s="589"/>
      <c r="BH55" s="562"/>
      <c r="BI55" s="562"/>
      <c r="BJ55" s="584"/>
      <c r="BK55" s="571"/>
      <c r="BL55" s="47"/>
      <c r="BM55" s="582"/>
      <c r="BO55" s="117"/>
      <c r="BP55" s="579"/>
    </row>
    <row r="56" spans="1:68" ht="11.25" customHeight="1" x14ac:dyDescent="0.25">
      <c r="A56" s="528">
        <v>6</v>
      </c>
      <c r="B56" s="529" t="str">
        <f>IF(編成!N$1&lt;6,"6",編成!T4)</f>
        <v>FC.
SOUTHERN
1st</v>
      </c>
      <c r="C56" s="536">
        <f>IF(E58="","",E57+E58)</f>
        <v>2</v>
      </c>
      <c r="D56" s="537"/>
      <c r="E56" s="537"/>
      <c r="F56" s="9" t="str">
        <f>IF(E58="","",IF(C56=G56,"△",IF(C56&gt;G56,"○","●")))</f>
        <v>○</v>
      </c>
      <c r="G56" s="537">
        <f>IF(G58="","",G57+G58)</f>
        <v>0</v>
      </c>
      <c r="H56" s="537"/>
      <c r="I56" s="542"/>
      <c r="J56" s="544">
        <f>IF(L58="","",L57+L58)</f>
        <v>1</v>
      </c>
      <c r="K56" s="537"/>
      <c r="L56" s="537"/>
      <c r="M56" s="9" t="str">
        <f>IF(L58="","",IF(J56=N56,"△",IF(J56&gt;N56,"○","●")))</f>
        <v>△</v>
      </c>
      <c r="N56" s="537">
        <f>IF(N58="","",N57+N58)</f>
        <v>1</v>
      </c>
      <c r="O56" s="537"/>
      <c r="P56" s="542"/>
      <c r="Q56" s="544">
        <f>IF(S58="","",S57+S58)</f>
        <v>5</v>
      </c>
      <c r="R56" s="537"/>
      <c r="S56" s="537"/>
      <c r="T56" s="9" t="str">
        <f>IF(S58="","",IF(Q56=U56,"△",IF(Q56&gt;U56,"○","●")))</f>
        <v>○</v>
      </c>
      <c r="U56" s="537">
        <f>IF(U58="","",U57+U58)</f>
        <v>1</v>
      </c>
      <c r="V56" s="537"/>
      <c r="W56" s="542"/>
      <c r="X56" s="544">
        <f>IF(Z58="","",Z57+Z58)</f>
        <v>3</v>
      </c>
      <c r="Y56" s="537"/>
      <c r="Z56" s="537"/>
      <c r="AA56" s="9" t="str">
        <f>IF(Z58="","",IF(X56=AB56,"△",IF(X56&gt;AB56,"○","●")))</f>
        <v>○</v>
      </c>
      <c r="AB56" s="537">
        <f>IF(AB58="","",AB57+AB58)</f>
        <v>0</v>
      </c>
      <c r="AC56" s="537"/>
      <c r="AD56" s="542"/>
      <c r="AE56" s="544">
        <f>IF(AG58="","",AG57+AG58)</f>
        <v>1</v>
      </c>
      <c r="AF56" s="537"/>
      <c r="AG56" s="537"/>
      <c r="AH56" s="9" t="str">
        <f>IF(AG58="","",IF(AE56=AI56,"△",IF(AE56&gt;AI56,"○","●")))</f>
        <v>○</v>
      </c>
      <c r="AI56" s="537">
        <f>IF(AI58="","",AI57+AI58)</f>
        <v>0</v>
      </c>
      <c r="AJ56" s="537"/>
      <c r="AK56" s="542"/>
      <c r="AL56" s="5"/>
      <c r="AM56" s="85"/>
      <c r="AN56" s="85"/>
      <c r="AO56" s="85"/>
      <c r="AP56" s="85"/>
      <c r="AQ56" s="85"/>
      <c r="AR56" s="6"/>
      <c r="AS56" s="544">
        <f>IF(AU57="","",INDEX(記入!$A$7:$Q$62,MATCH(VALUE($A56&amp;AS$3&amp;1),記入!$A$7:$A$62,0),9))</f>
        <v>3</v>
      </c>
      <c r="AT56" s="537"/>
      <c r="AU56" s="537"/>
      <c r="AV56" s="9" t="str">
        <f>IF(AU58="","",IF(AS56=AW56,"△",IF(AS56&gt;AW56,"○","●")))</f>
        <v>△</v>
      </c>
      <c r="AW56" s="537">
        <f>IF(AU57="","",INDEX(記入!$A$7:$Q$62,MATCH(VALUE($A56&amp;AS$3&amp;1),記入!$A$7:$A$62,0),15))</f>
        <v>3</v>
      </c>
      <c r="AX56" s="537"/>
      <c r="AY56" s="542"/>
      <c r="AZ56" s="544">
        <f>IF(BB57="","",INDEX(記入!$A$7:$Q$62,MATCH(VALUE($A56&amp;AZ$3&amp;1),記入!$A$7:$A$62,0),9))</f>
        <v>10</v>
      </c>
      <c r="BA56" s="537"/>
      <c r="BB56" s="537"/>
      <c r="BC56" s="9" t="str">
        <f>IF(BB58="","",IF(AZ56=BD56,"△",IF(AZ56&gt;BD56,"○","●")))</f>
        <v>○</v>
      </c>
      <c r="BD56" s="537">
        <f>IF(BB57="","",INDEX(記入!$A$7:$Q$62,MATCH(VALUE($A56&amp;AZ$3&amp;1),記入!$A$7:$A$62,0),15))</f>
        <v>0</v>
      </c>
      <c r="BE56" s="537"/>
      <c r="BF56" s="566"/>
      <c r="BG56" s="588">
        <f>IF(COUNT(C57:BF57)=0,"",COUNTIF(AO$6:AO$85,"●")*3+COUNTIF(AO$6:AO$85,"△"))</f>
        <v>29</v>
      </c>
      <c r="BH56" s="560">
        <f>IF(BG56="","",SUM(AP$6:AP$85)/2)</f>
        <v>56</v>
      </c>
      <c r="BI56" s="560">
        <f>IF(BG56="","",SUM(AL$6:AL$85))</f>
        <v>5</v>
      </c>
      <c r="BJ56" s="583">
        <f>IF(BG56="","",BH56-BI56)</f>
        <v>51</v>
      </c>
      <c r="BK56" s="569">
        <f>IF(BG56="","",RANK(BL56,BL$6:BL$85))</f>
        <v>1</v>
      </c>
      <c r="BL56" s="47">
        <f>IF(BG56="",-ROW()*10000,BG56*10000+BJ56*100+BH56+COUNTIF(C56:BF56,"&gt;=0")/20)</f>
        <v>295156.7</v>
      </c>
      <c r="BM56" s="580">
        <f>RANK(BL56,BL$6:BL$85)</f>
        <v>1</v>
      </c>
      <c r="BN56" s="1">
        <v>51</v>
      </c>
      <c r="BO56" s="118">
        <f>IF(BG56="",-ROW()*10000,BG56*10000+BJ56*100+BH56+COUNTIF(C56:BF56,"&gt;=0")/20-ROW()/1000)</f>
        <v>295156.64400000003</v>
      </c>
      <c r="BP56" s="577">
        <f>RANK(BO56,BO$6:BO$85)</f>
        <v>1</v>
      </c>
    </row>
    <row r="57" spans="1:68" ht="10.5" customHeight="1" x14ac:dyDescent="0.25">
      <c r="A57" s="528"/>
      <c r="B57" s="530"/>
      <c r="C57" s="3"/>
      <c r="D57" s="5"/>
      <c r="E57" s="15">
        <f>IF(AP7="","",AP7)</f>
        <v>1</v>
      </c>
      <c r="F57" s="3" t="s">
        <v>199</v>
      </c>
      <c r="G57" s="16">
        <f>IF(AN7="","",AN7)</f>
        <v>0</v>
      </c>
      <c r="H57" s="6"/>
      <c r="I57" s="4"/>
      <c r="J57" s="2"/>
      <c r="K57" s="5"/>
      <c r="L57" s="15">
        <f>IF(AP17="","",AP17)</f>
        <v>0</v>
      </c>
      <c r="M57" s="3" t="s">
        <v>199</v>
      </c>
      <c r="N57" s="16">
        <f>IF(AN17="","",AN17)</f>
        <v>1</v>
      </c>
      <c r="O57" s="6"/>
      <c r="P57" s="4"/>
      <c r="Q57" s="2"/>
      <c r="R57" s="5"/>
      <c r="S57" s="15">
        <f>IF(AP27="","",AP27)</f>
        <v>1</v>
      </c>
      <c r="T57" s="3" t="s">
        <v>199</v>
      </c>
      <c r="U57" s="16">
        <f>IF(AN27="","",AN27)</f>
        <v>1</v>
      </c>
      <c r="V57" s="6"/>
      <c r="W57" s="4"/>
      <c r="X57" s="2"/>
      <c r="Y57" s="5"/>
      <c r="Z57" s="15">
        <f>IF(AP37="","",AP37)</f>
        <v>2</v>
      </c>
      <c r="AA57" s="3" t="s">
        <v>199</v>
      </c>
      <c r="AB57" s="16">
        <f>IF(AN37="","",AN37)</f>
        <v>0</v>
      </c>
      <c r="AC57" s="6"/>
      <c r="AD57" s="4"/>
      <c r="AE57" s="2"/>
      <c r="AF57" s="5"/>
      <c r="AG57" s="15">
        <f>IF(AP47="","",AP47)</f>
        <v>0</v>
      </c>
      <c r="AH57" s="3" t="s">
        <v>199</v>
      </c>
      <c r="AI57" s="16">
        <f>IF(AN47="","",AN47)</f>
        <v>0</v>
      </c>
      <c r="AJ57" s="6"/>
      <c r="AK57" s="4"/>
      <c r="AL57" s="2"/>
      <c r="AM57" s="3"/>
      <c r="AN57" s="3"/>
      <c r="AO57" s="3"/>
      <c r="AP57" s="3"/>
      <c r="AQ57" s="3"/>
      <c r="AR57" s="4"/>
      <c r="AS57" s="2"/>
      <c r="AT57" s="5"/>
      <c r="AU57" s="15">
        <f>IF(AT59="","",IF(INDEX(記入!$A$7:$Q$62,MATCH(VALUE($A56&amp;AS$3&amp;1),記入!$A$7:$A$62,0),11)="","",INDEX(記入!$A$7:$Q$62,MATCH(VALUE($A56&amp;AS$3&amp;1),記入!$A$7:$A$62,0),11)))</f>
        <v>2</v>
      </c>
      <c r="AV57" s="3" t="s">
        <v>199</v>
      </c>
      <c r="AW57" s="16">
        <f>IF(AU57="","",INDEX(記入!$A$7:$Q$62,MATCH(VALUE($A56&amp;AS$3&amp;1),記入!$A$7:$A$62,0),13))</f>
        <v>0</v>
      </c>
      <c r="AX57" s="6"/>
      <c r="AY57" s="4"/>
      <c r="AZ57" s="2"/>
      <c r="BA57" s="5"/>
      <c r="BB57" s="15">
        <f>IF(BA59="","",IF(INDEX(記入!$A$7:$Q$62,MATCH(VALUE($A56&amp;AZ$3&amp;1),記入!$A$7:$A$62,0),11)="","",INDEX(記入!$A$7:$Q$62,MATCH(VALUE($A56&amp;AZ$3&amp;1),記入!$A$7:$A$62,0),11)))</f>
        <v>3</v>
      </c>
      <c r="BC57" s="3" t="s">
        <v>199</v>
      </c>
      <c r="BD57" s="16">
        <f>IF(BB57="","",INDEX(記入!$A$7:$Q$62,MATCH(VALUE($A56&amp;AZ$3&amp;1),記入!$A$7:$A$62,0),13))</f>
        <v>0</v>
      </c>
      <c r="BE57" s="6"/>
      <c r="BF57" s="356"/>
      <c r="BG57" s="573"/>
      <c r="BH57" s="561"/>
      <c r="BI57" s="561"/>
      <c r="BJ57" s="575"/>
      <c r="BK57" s="570"/>
      <c r="BL57" s="47"/>
      <c r="BM57" s="581"/>
      <c r="BO57" s="117"/>
      <c r="BP57" s="578"/>
    </row>
    <row r="58" spans="1:68" ht="10.5" customHeight="1" x14ac:dyDescent="0.25">
      <c r="A58" s="528"/>
      <c r="B58" s="530"/>
      <c r="C58" s="3"/>
      <c r="D58" s="7"/>
      <c r="E58" s="15">
        <f>IF(AP8="","",AP8)</f>
        <v>1</v>
      </c>
      <c r="F58" s="3" t="s">
        <v>199</v>
      </c>
      <c r="G58" s="16">
        <f>IF(AN8="","",AN8)</f>
        <v>0</v>
      </c>
      <c r="H58" s="8"/>
      <c r="I58" s="4"/>
      <c r="J58" s="2"/>
      <c r="K58" s="7"/>
      <c r="L58" s="15">
        <f>IF(AP18="","",AP18)</f>
        <v>1</v>
      </c>
      <c r="M58" s="3" t="s">
        <v>199</v>
      </c>
      <c r="N58" s="16">
        <f>IF(AN18="","",AN18)</f>
        <v>0</v>
      </c>
      <c r="O58" s="8"/>
      <c r="P58" s="4"/>
      <c r="Q58" s="2"/>
      <c r="R58" s="7"/>
      <c r="S58" s="15">
        <f>IF(AP28="","",AP28)</f>
        <v>4</v>
      </c>
      <c r="T58" s="3" t="s">
        <v>199</v>
      </c>
      <c r="U58" s="16">
        <f>IF(AN28="","",AN28)</f>
        <v>0</v>
      </c>
      <c r="V58" s="8"/>
      <c r="W58" s="4"/>
      <c r="X58" s="2"/>
      <c r="Y58" s="7"/>
      <c r="Z58" s="15">
        <f>IF(AP38="","",AP38)</f>
        <v>1</v>
      </c>
      <c r="AA58" s="3" t="s">
        <v>199</v>
      </c>
      <c r="AB58" s="16">
        <f>IF(AN38="","",AN38)</f>
        <v>0</v>
      </c>
      <c r="AC58" s="8"/>
      <c r="AD58" s="4"/>
      <c r="AE58" s="2"/>
      <c r="AF58" s="7"/>
      <c r="AG58" s="15">
        <f>IF(AP48="","",AP48)</f>
        <v>1</v>
      </c>
      <c r="AH58" s="3" t="s">
        <v>199</v>
      </c>
      <c r="AI58" s="16">
        <f>IF(AN48="","",AN48)</f>
        <v>0</v>
      </c>
      <c r="AJ58" s="8"/>
      <c r="AK58" s="4"/>
      <c r="AL58" s="2"/>
      <c r="AM58" s="3"/>
      <c r="AN58" s="3"/>
      <c r="AO58" s="3"/>
      <c r="AP58" s="3"/>
      <c r="AQ58" s="3"/>
      <c r="AR58" s="4"/>
      <c r="AS58" s="2"/>
      <c r="AT58" s="7"/>
      <c r="AU58" s="15">
        <f>IF(AU57="","",AS56-AU57)</f>
        <v>1</v>
      </c>
      <c r="AV58" s="3" t="s">
        <v>199</v>
      </c>
      <c r="AW58" s="16">
        <f>IF(AW57="","",AW56-AW57)</f>
        <v>3</v>
      </c>
      <c r="AX58" s="8"/>
      <c r="AY58" s="4"/>
      <c r="AZ58" s="2"/>
      <c r="BA58" s="7"/>
      <c r="BB58" s="15">
        <f>IF(BB57="","",AZ56-BB57)</f>
        <v>7</v>
      </c>
      <c r="BC58" s="3" t="s">
        <v>199</v>
      </c>
      <c r="BD58" s="16">
        <f>IF(BD57="","",BD56-BD57)</f>
        <v>0</v>
      </c>
      <c r="BE58" s="8"/>
      <c r="BF58" s="356"/>
      <c r="BG58" s="573"/>
      <c r="BH58" s="561"/>
      <c r="BI58" s="561"/>
      <c r="BJ58" s="575"/>
      <c r="BK58" s="570"/>
      <c r="BL58" s="47"/>
      <c r="BM58" s="581"/>
      <c r="BO58" s="117"/>
      <c r="BP58" s="578"/>
    </row>
    <row r="59" spans="1:68" ht="11.25" customHeight="1" x14ac:dyDescent="0.25">
      <c r="A59" s="528"/>
      <c r="B59" s="530"/>
      <c r="C59" s="51"/>
      <c r="D59" s="532" t="str">
        <f>IF(C60="","",AM9)</f>
        <v>④</v>
      </c>
      <c r="E59" s="532"/>
      <c r="F59" s="540">
        <f>IF(C60="","",AO9)</f>
        <v>42504</v>
      </c>
      <c r="G59" s="540"/>
      <c r="H59" s="540"/>
      <c r="I59" s="541"/>
      <c r="J59" s="51"/>
      <c r="K59" s="532" t="str">
        <f>IF(J60="","",AM19)</f>
        <v>③</v>
      </c>
      <c r="L59" s="532"/>
      <c r="M59" s="540">
        <f>IF(J60="","",AO19)</f>
        <v>42498</v>
      </c>
      <c r="N59" s="540"/>
      <c r="O59" s="540"/>
      <c r="P59" s="541"/>
      <c r="Q59" s="51"/>
      <c r="R59" s="532" t="str">
        <f>IF(Q60="","",AM29)</f>
        <v>⑥</v>
      </c>
      <c r="S59" s="532"/>
      <c r="T59" s="540">
        <f>IF(Q60="","",AO29)</f>
        <v>42519</v>
      </c>
      <c r="U59" s="540"/>
      <c r="V59" s="540"/>
      <c r="W59" s="541"/>
      <c r="X59" s="51"/>
      <c r="Y59" s="532" t="str">
        <f>IF(X60="","",AM39)</f>
        <v>⑦</v>
      </c>
      <c r="Z59" s="532"/>
      <c r="AA59" s="540">
        <f>IF(X60="","",AO39)</f>
        <v>42554</v>
      </c>
      <c r="AB59" s="540"/>
      <c r="AC59" s="540"/>
      <c r="AD59" s="541"/>
      <c r="AE59" s="51"/>
      <c r="AF59" s="532" t="str">
        <f>IF(AE60="","",AM49)</f>
        <v>①</v>
      </c>
      <c r="AG59" s="532"/>
      <c r="AH59" s="540">
        <f>IF(AE60="","",AO49)</f>
        <v>42489</v>
      </c>
      <c r="AI59" s="540"/>
      <c r="AJ59" s="540"/>
      <c r="AK59" s="541"/>
      <c r="AL59" s="2"/>
      <c r="AM59" s="3"/>
      <c r="AN59" s="3"/>
      <c r="AO59" s="3"/>
      <c r="AP59" s="3"/>
      <c r="AQ59" s="3"/>
      <c r="AR59" s="4"/>
      <c r="AS59" s="80"/>
      <c r="AT59" s="532" t="str">
        <f>IF(COUNT(MATCH(VALUE($A56&amp;AS$3&amp;1),記入!$A$7:$A$62,0))=0,"",INDEX(記入!$A$7:$Q$62,MATCH(VALUE($A56&amp;AS$3&amp;1),記入!$A$7:$A$62,0),3))</f>
        <v>⑦</v>
      </c>
      <c r="AU59" s="532"/>
      <c r="AV59" s="546">
        <f>IF(AT59="","",INDEX(記入!$A$7:$Q$62,MATCH(VALUE($A56&amp;AS$3&amp;1),記入!$A$7:$A$62,0),4))</f>
        <v>42546</v>
      </c>
      <c r="AW59" s="546"/>
      <c r="AX59" s="546"/>
      <c r="AY59" s="547"/>
      <c r="AZ59" s="80"/>
      <c r="BA59" s="532" t="str">
        <f>IF(COUNT(MATCH(VALUE($A56&amp;AZ$3&amp;1),記入!$A$7:$A$62,0))=0,"",INDEX(記入!$A$7:$Q$62,MATCH(VALUE($A56&amp;AZ$3&amp;1),記入!$A$7:$A$62,0),3))</f>
        <v>②</v>
      </c>
      <c r="BB59" s="532"/>
      <c r="BC59" s="546">
        <f>IF(BA59="","",INDEX(記入!$A$7:$Q$62,MATCH(VALUE($A56&amp;AZ$3&amp;1),記入!$A$7:$A$62,0),4))</f>
        <v>42491</v>
      </c>
      <c r="BD59" s="546"/>
      <c r="BE59" s="546"/>
      <c r="BF59" s="567"/>
      <c r="BG59" s="573"/>
      <c r="BH59" s="561"/>
      <c r="BI59" s="561"/>
      <c r="BJ59" s="575"/>
      <c r="BK59" s="570"/>
      <c r="BL59" s="47"/>
      <c r="BM59" s="581"/>
      <c r="BO59" s="117"/>
      <c r="BP59" s="578"/>
    </row>
    <row r="60" spans="1:68" ht="11.25" customHeight="1" x14ac:dyDescent="0.25">
      <c r="A60" s="528"/>
      <c r="B60" s="530"/>
      <c r="C60" s="543" t="str">
        <f>IF(AL10="","",AL10)</f>
        <v>金沢交流</v>
      </c>
      <c r="D60" s="534"/>
      <c r="E60" s="534"/>
      <c r="F60" s="534"/>
      <c r="G60" s="534"/>
      <c r="H60" s="534"/>
      <c r="I60" s="535"/>
      <c r="J60" s="543" t="str">
        <f>IF(AL20="","",AL20)</f>
        <v>和倉Ａ</v>
      </c>
      <c r="K60" s="534"/>
      <c r="L60" s="534"/>
      <c r="M60" s="534"/>
      <c r="N60" s="534"/>
      <c r="O60" s="534"/>
      <c r="P60" s="535"/>
      <c r="Q60" s="543" t="str">
        <f>IF(AL30="","",AL30)</f>
        <v>星稜ｻｯｶｰ場</v>
      </c>
      <c r="R60" s="534"/>
      <c r="S60" s="534"/>
      <c r="T60" s="534"/>
      <c r="U60" s="534"/>
      <c r="V60" s="534"/>
      <c r="W60" s="535"/>
      <c r="X60" s="543" t="str">
        <f>IF(AL40="","",AL40)</f>
        <v>加賀陸上</v>
      </c>
      <c r="Y60" s="534"/>
      <c r="Z60" s="534"/>
      <c r="AA60" s="534"/>
      <c r="AB60" s="534"/>
      <c r="AC60" s="534"/>
      <c r="AD60" s="535"/>
      <c r="AE60" s="543" t="str">
        <f>IF(AL50="","",AL50)</f>
        <v>星稜ｻｯｶｰ場</v>
      </c>
      <c r="AF60" s="534"/>
      <c r="AG60" s="534"/>
      <c r="AH60" s="534"/>
      <c r="AI60" s="534"/>
      <c r="AJ60" s="534"/>
      <c r="AK60" s="535"/>
      <c r="AL60" s="2"/>
      <c r="AM60" s="3"/>
      <c r="AN60" s="3"/>
      <c r="AO60" s="3"/>
      <c r="AP60" s="3"/>
      <c r="AQ60" s="3"/>
      <c r="AR60" s="4"/>
      <c r="AS60" s="543" t="str">
        <f>IF(AT59="","",INDEX(記入!$A$7:$Q$62,MATCH(VALUE($A56&amp;AS$3&amp;1),記入!$A$7:$A$62,0),6))</f>
        <v>能登島Ｂ</v>
      </c>
      <c r="AT60" s="534"/>
      <c r="AU60" s="534"/>
      <c r="AV60" s="534"/>
      <c r="AW60" s="534"/>
      <c r="AX60" s="534"/>
      <c r="AY60" s="535"/>
      <c r="AZ60" s="543" t="str">
        <f>IF(BA59="","",INDEX(記入!$A$7:$Q$62,MATCH(VALUE($A56&amp;AZ$3&amp;1),記入!$A$7:$A$62,0),6))</f>
        <v>能登島Ｂ</v>
      </c>
      <c r="BA60" s="534"/>
      <c r="BB60" s="534"/>
      <c r="BC60" s="534"/>
      <c r="BD60" s="534"/>
      <c r="BE60" s="534"/>
      <c r="BF60" s="565"/>
      <c r="BG60" s="573"/>
      <c r="BH60" s="561"/>
      <c r="BI60" s="561"/>
      <c r="BJ60" s="575"/>
      <c r="BK60" s="570"/>
      <c r="BL60" s="47"/>
      <c r="BM60" s="581"/>
      <c r="BO60" s="117"/>
      <c r="BP60" s="578"/>
    </row>
    <row r="61" spans="1:68" ht="11.25" customHeight="1" x14ac:dyDescent="0.25">
      <c r="A61" s="528"/>
      <c r="B61" s="530"/>
      <c r="C61" s="536" t="str">
        <f>IF(E63="","",E62+E63)</f>
        <v/>
      </c>
      <c r="D61" s="537"/>
      <c r="E61" s="537"/>
      <c r="F61" s="9" t="str">
        <f>IF(E63="","",IF(C61=G61,"△",IF(C61&gt;G61,"○","●")))</f>
        <v/>
      </c>
      <c r="G61" s="537" t="str">
        <f>IF(G63="","",G62+G63)</f>
        <v/>
      </c>
      <c r="H61" s="537"/>
      <c r="I61" s="542"/>
      <c r="J61" s="544" t="str">
        <f>IF(L63="","",L62+L63)</f>
        <v/>
      </c>
      <c r="K61" s="537"/>
      <c r="L61" s="537"/>
      <c r="M61" s="9" t="str">
        <f>IF(L63="","",IF(J61=N61,"△",IF(J61&gt;N61,"○","●")))</f>
        <v/>
      </c>
      <c r="N61" s="537" t="str">
        <f>IF(N63="","",N62+N63)</f>
        <v/>
      </c>
      <c r="O61" s="537"/>
      <c r="P61" s="542"/>
      <c r="Q61" s="544">
        <f>IF(S63="","",S62+S63)</f>
        <v>2</v>
      </c>
      <c r="R61" s="537"/>
      <c r="S61" s="537"/>
      <c r="T61" s="9" t="str">
        <f>IF(S63="","",IF(Q61=U61,"△",IF(Q61&gt;U61,"○","●")))</f>
        <v>○</v>
      </c>
      <c r="U61" s="537">
        <f>IF(U63="","",U62+U63)</f>
        <v>0</v>
      </c>
      <c r="V61" s="537"/>
      <c r="W61" s="542"/>
      <c r="X61" s="544" t="str">
        <f>IF(Z63="","",Z62+Z63)</f>
        <v/>
      </c>
      <c r="Y61" s="537"/>
      <c r="Z61" s="537"/>
      <c r="AA61" s="9" t="str">
        <f>IF(Z63="","",IF(X61=AB61,"△",IF(X61&gt;AB61,"○","●")))</f>
        <v/>
      </c>
      <c r="AB61" s="537" t="str">
        <f>IF(AB63="","",AB62+AB63)</f>
        <v/>
      </c>
      <c r="AC61" s="537"/>
      <c r="AD61" s="542"/>
      <c r="AE61" s="544">
        <f>IF(AG63="","",AG62+AG63)</f>
        <v>4</v>
      </c>
      <c r="AF61" s="537"/>
      <c r="AG61" s="537"/>
      <c r="AH61" s="9" t="str">
        <f>IF(AG63="","",IF(AE61=AI61,"△",IF(AE61&gt;AI61,"○","●")))</f>
        <v>○</v>
      </c>
      <c r="AI61" s="537">
        <f>IF(AI63="","",AI62+AI63)</f>
        <v>0</v>
      </c>
      <c r="AJ61" s="537"/>
      <c r="AK61" s="542"/>
      <c r="AL61" s="2"/>
      <c r="AM61" s="3"/>
      <c r="AN61" s="3"/>
      <c r="AO61" s="3"/>
      <c r="AP61" s="3"/>
      <c r="AQ61" s="3"/>
      <c r="AR61" s="4"/>
      <c r="AS61" s="544">
        <f>IF(AU62="","",INDEX(記入!$A$7:$Q$62,MATCH(VALUE($A56&amp;AS$3&amp;2),記入!$A$7:$A$62,0),9))</f>
        <v>9</v>
      </c>
      <c r="AT61" s="537"/>
      <c r="AU61" s="537"/>
      <c r="AV61" s="9" t="str">
        <f>IF(AU63="","",IF(AS61=AW61,"△",IF(AS61&gt;AW61,"○","●")))</f>
        <v>○</v>
      </c>
      <c r="AW61" s="537">
        <f>IF(AU62="","",INDEX(記入!$A$7:$Q$62,MATCH(VALUE($A56&amp;AS$3&amp;2),記入!$A$7:$A$62,0),15))</f>
        <v>0</v>
      </c>
      <c r="AX61" s="537"/>
      <c r="AY61" s="542"/>
      <c r="AZ61" s="544">
        <f>IF(BB62="","",INDEX(記入!$A$7:$Q$62,MATCH(VALUE($A56&amp;AZ$3&amp;2),記入!$A$7:$A$62,0),9))</f>
        <v>16</v>
      </c>
      <c r="BA61" s="537"/>
      <c r="BB61" s="537"/>
      <c r="BC61" s="9" t="str">
        <f>IF(BB63="","",IF(AZ61=BD61,"△",IF(AZ61&gt;BD61,"○","●")))</f>
        <v>○</v>
      </c>
      <c r="BD61" s="537">
        <f>IF(BB62="","",INDEX(記入!$A$7:$Q$62,MATCH(VALUE($A56&amp;AZ$3&amp;2),記入!$A$7:$A$62,0),15))</f>
        <v>0</v>
      </c>
      <c r="BE61" s="537"/>
      <c r="BF61" s="542"/>
      <c r="BG61" s="573"/>
      <c r="BH61" s="561"/>
      <c r="BI61" s="561"/>
      <c r="BJ61" s="575"/>
      <c r="BK61" s="570"/>
      <c r="BL61" s="47"/>
      <c r="BM61" s="581"/>
      <c r="BO61" s="117"/>
      <c r="BP61" s="578"/>
    </row>
    <row r="62" spans="1:68" ht="11.25" customHeight="1" x14ac:dyDescent="0.25">
      <c r="A62" s="528"/>
      <c r="B62" s="530"/>
      <c r="C62" s="3"/>
      <c r="D62" s="5"/>
      <c r="E62" s="15" t="str">
        <f>IF(AP12="","",AP12)</f>
        <v/>
      </c>
      <c r="F62" s="3" t="s">
        <v>199</v>
      </c>
      <c r="G62" s="16" t="str">
        <f>IF(AN12="","",AN12)</f>
        <v/>
      </c>
      <c r="H62" s="6"/>
      <c r="I62" s="4"/>
      <c r="J62" s="2"/>
      <c r="K62" s="5"/>
      <c r="L62" s="15" t="str">
        <f>IF(AP22="","",AP22)</f>
        <v/>
      </c>
      <c r="M62" s="3" t="s">
        <v>199</v>
      </c>
      <c r="N62" s="16" t="str">
        <f>IF(AN22="","",AN22)</f>
        <v/>
      </c>
      <c r="O62" s="6"/>
      <c r="P62" s="4"/>
      <c r="Q62" s="2"/>
      <c r="R62" s="5"/>
      <c r="S62" s="15">
        <f>IF(AP32="","",AP32)</f>
        <v>1</v>
      </c>
      <c r="T62" s="3" t="s">
        <v>199</v>
      </c>
      <c r="U62" s="16">
        <f>IF(AN32="","",AN32)</f>
        <v>0</v>
      </c>
      <c r="V62" s="6"/>
      <c r="W62" s="4"/>
      <c r="X62" s="2"/>
      <c r="Y62" s="5"/>
      <c r="Z62" s="15" t="str">
        <f>IF(AP42="","",AP42)</f>
        <v/>
      </c>
      <c r="AA62" s="3" t="s">
        <v>199</v>
      </c>
      <c r="AB62" s="16" t="str">
        <f>IF(AN42="","",AN42)</f>
        <v/>
      </c>
      <c r="AC62" s="6"/>
      <c r="AD62" s="4"/>
      <c r="AE62" s="2"/>
      <c r="AF62" s="5"/>
      <c r="AG62" s="15">
        <f>IF(AP52="","",AP52)</f>
        <v>1</v>
      </c>
      <c r="AH62" s="3" t="s">
        <v>199</v>
      </c>
      <c r="AI62" s="16">
        <f>IF(AN52="","",AN52)</f>
        <v>0</v>
      </c>
      <c r="AJ62" s="6"/>
      <c r="AK62" s="4"/>
      <c r="AL62" s="2"/>
      <c r="AM62" s="3"/>
      <c r="AN62" s="3"/>
      <c r="AO62" s="3"/>
      <c r="AP62" s="3"/>
      <c r="AQ62" s="3"/>
      <c r="AR62" s="4"/>
      <c r="AS62" s="2"/>
      <c r="AT62" s="5"/>
      <c r="AU62" s="15">
        <f>IF(AT64="","",IF(INDEX(記入!$A$7:$Q$62,MATCH(VALUE($A56&amp;AS$3&amp;2),記入!$A$7:$A$62,0),11)="","",INDEX(記入!$A$7:$Q$62,MATCH(VALUE($A56&amp;AS$3&amp;2),記入!$A$7:$A$62,0),11)))</f>
        <v>2</v>
      </c>
      <c r="AV62" s="3" t="s">
        <v>199</v>
      </c>
      <c r="AW62" s="16">
        <f>IF(AU62="","",INDEX(記入!$A$7:$Q$62,MATCH(VALUE($A56&amp;AS$3&amp;2),記入!$A$7:$A$62,0),13))</f>
        <v>0</v>
      </c>
      <c r="AX62" s="6"/>
      <c r="AY62" s="4"/>
      <c r="AZ62" s="2"/>
      <c r="BA62" s="5"/>
      <c r="BB62" s="15">
        <f>IF(BA64="","",IF(INDEX(記入!$A$7:$Q$62,MATCH(VALUE($A56&amp;AZ$3&amp;2),記入!$A$7:$A$62,0),11)="","",INDEX(記入!$A$7:$Q$62,MATCH(VALUE($A56&amp;AZ$3&amp;2),記入!$A$7:$A$62,0),11)))</f>
        <v>4</v>
      </c>
      <c r="BC62" s="3" t="s">
        <v>199</v>
      </c>
      <c r="BD62" s="16">
        <f>IF(BB62="","",INDEX(記入!$A$7:$Q$62,MATCH(VALUE($A56&amp;AZ$3&amp;2),記入!$A$7:$A$62,0),13))</f>
        <v>0</v>
      </c>
      <c r="BE62" s="6"/>
      <c r="BF62" s="4"/>
      <c r="BG62" s="573"/>
      <c r="BH62" s="561"/>
      <c r="BI62" s="561"/>
      <c r="BJ62" s="575"/>
      <c r="BK62" s="570"/>
      <c r="BL62" s="47"/>
      <c r="BM62" s="581"/>
      <c r="BO62" s="117"/>
      <c r="BP62" s="578"/>
    </row>
    <row r="63" spans="1:68" ht="11.25" customHeight="1" x14ac:dyDescent="0.25">
      <c r="A63" s="528"/>
      <c r="B63" s="530"/>
      <c r="C63" s="3"/>
      <c r="D63" s="7"/>
      <c r="E63" s="15" t="str">
        <f>IF(AP13="","",AP13)</f>
        <v/>
      </c>
      <c r="F63" s="3" t="s">
        <v>199</v>
      </c>
      <c r="G63" s="16" t="str">
        <f>IF(AN13="","",AN13)</f>
        <v/>
      </c>
      <c r="H63" s="8"/>
      <c r="I63" s="4"/>
      <c r="J63" s="2"/>
      <c r="K63" s="7"/>
      <c r="L63" s="15" t="str">
        <f>IF(AP23="","",AP23)</f>
        <v/>
      </c>
      <c r="M63" s="3" t="s">
        <v>199</v>
      </c>
      <c r="N63" s="16" t="str">
        <f>IF(AN23="","",AN23)</f>
        <v/>
      </c>
      <c r="O63" s="8"/>
      <c r="P63" s="4"/>
      <c r="Q63" s="2"/>
      <c r="R63" s="7"/>
      <c r="S63" s="15">
        <f>IF(AP33="","",AP33)</f>
        <v>1</v>
      </c>
      <c r="T63" s="3" t="s">
        <v>199</v>
      </c>
      <c r="U63" s="16">
        <f>IF(AN33="","",AN33)</f>
        <v>0</v>
      </c>
      <c r="V63" s="8"/>
      <c r="W63" s="4"/>
      <c r="X63" s="2"/>
      <c r="Y63" s="7"/>
      <c r="Z63" s="15" t="str">
        <f>IF(AP43="","",AP43)</f>
        <v/>
      </c>
      <c r="AA63" s="3" t="s">
        <v>199</v>
      </c>
      <c r="AB63" s="16" t="str">
        <f>IF(AN43="","",AN43)</f>
        <v/>
      </c>
      <c r="AC63" s="8"/>
      <c r="AD63" s="4"/>
      <c r="AE63" s="2"/>
      <c r="AF63" s="7"/>
      <c r="AG63" s="15">
        <f>IF(AP53="","",AP53)</f>
        <v>3</v>
      </c>
      <c r="AH63" s="3" t="s">
        <v>199</v>
      </c>
      <c r="AI63" s="16">
        <f>IF(AN53="","",AN53)</f>
        <v>0</v>
      </c>
      <c r="AJ63" s="8"/>
      <c r="AK63" s="4"/>
      <c r="AL63" s="2"/>
      <c r="AM63" s="3"/>
      <c r="AN63" s="3"/>
      <c r="AO63" s="3"/>
      <c r="AP63" s="3"/>
      <c r="AQ63" s="3"/>
      <c r="AR63" s="4"/>
      <c r="AS63" s="2"/>
      <c r="AT63" s="7"/>
      <c r="AU63" s="15">
        <f>IF(AU62="","",AS61-AU62)</f>
        <v>7</v>
      </c>
      <c r="AV63" s="3" t="s">
        <v>199</v>
      </c>
      <c r="AW63" s="16">
        <f>IF(AW62="","",AW61-AW62)</f>
        <v>0</v>
      </c>
      <c r="AX63" s="8"/>
      <c r="AY63" s="4"/>
      <c r="AZ63" s="2"/>
      <c r="BA63" s="7"/>
      <c r="BB63" s="15">
        <f>IF(BB62="","",AZ61-BB62)</f>
        <v>12</v>
      </c>
      <c r="BC63" s="3" t="s">
        <v>199</v>
      </c>
      <c r="BD63" s="16">
        <f>IF(BD62="","",BD61-BD62)</f>
        <v>0</v>
      </c>
      <c r="BE63" s="8"/>
      <c r="BF63" s="4"/>
      <c r="BG63" s="573"/>
      <c r="BH63" s="561"/>
      <c r="BI63" s="561"/>
      <c r="BJ63" s="575"/>
      <c r="BK63" s="570"/>
      <c r="BL63" s="47"/>
      <c r="BM63" s="581"/>
      <c r="BO63" s="117"/>
      <c r="BP63" s="578"/>
    </row>
    <row r="64" spans="1:68" ht="11.25" customHeight="1" x14ac:dyDescent="0.25">
      <c r="A64" s="528"/>
      <c r="B64" s="530"/>
      <c r="C64" s="51"/>
      <c r="D64" s="532" t="str">
        <f>IF(C65="","",AM14)</f>
        <v>②</v>
      </c>
      <c r="E64" s="532"/>
      <c r="F64" s="540">
        <f>IF(C65="","",AO14)</f>
        <v>42677</v>
      </c>
      <c r="G64" s="540"/>
      <c r="H64" s="540"/>
      <c r="I64" s="541"/>
      <c r="J64" s="51"/>
      <c r="K64" s="532" t="str">
        <f>IF(J65="","",AM24)</f>
        <v>②</v>
      </c>
      <c r="L64" s="532"/>
      <c r="M64" s="540">
        <f>IF(J65="","",AO24)</f>
        <v>42673</v>
      </c>
      <c r="N64" s="540"/>
      <c r="O64" s="540"/>
      <c r="P64" s="541"/>
      <c r="Q64" s="51"/>
      <c r="R64" s="532" t="str">
        <f>IF(Q65="","",AM34)</f>
        <v>⑧</v>
      </c>
      <c r="S64" s="532"/>
      <c r="T64" s="540">
        <f>IF(Q65="","",AO34)</f>
        <v>42574</v>
      </c>
      <c r="U64" s="540"/>
      <c r="V64" s="540"/>
      <c r="W64" s="541"/>
      <c r="X64" s="51"/>
      <c r="Y64" s="532" t="str">
        <f>IF(X65="","",AM44)</f>
        <v>②</v>
      </c>
      <c r="Z64" s="532"/>
      <c r="AA64" s="540">
        <f>IF(X65="","",AO44)</f>
        <v>42659</v>
      </c>
      <c r="AB64" s="540"/>
      <c r="AC64" s="540"/>
      <c r="AD64" s="541"/>
      <c r="AE64" s="51"/>
      <c r="AF64" s="532" t="str">
        <f>IF(AE65="","",AM54)</f>
        <v>⑨</v>
      </c>
      <c r="AG64" s="532"/>
      <c r="AH64" s="540">
        <f>IF(AE65="","",AO54)</f>
        <v>42588</v>
      </c>
      <c r="AI64" s="540"/>
      <c r="AJ64" s="540"/>
      <c r="AK64" s="541"/>
      <c r="AL64" s="2"/>
      <c r="AM64" s="3"/>
      <c r="AN64" s="3"/>
      <c r="AO64" s="3"/>
      <c r="AP64" s="3"/>
      <c r="AQ64" s="3"/>
      <c r="AR64" s="4"/>
      <c r="AS64" s="80"/>
      <c r="AT64" s="532" t="str">
        <f>IF(COUNT(MATCH(VALUE($A56&amp;AS$3&amp;2),記入!$A$7:$A$62,0))=0,"",INDEX(記入!$A$7:$Q$62,MATCH(VALUE($A56&amp;AS$3&amp;2),記入!$A$7:$A$62,0),3))</f>
        <v>⑨</v>
      </c>
      <c r="AU64" s="532"/>
      <c r="AV64" s="546">
        <f>IF(AT64="","",INDEX(記入!$A$7:$Q$62,MATCH(VALUE($A56&amp;AS$3&amp;2),記入!$A$7:$A$62,0),4))</f>
        <v>42581</v>
      </c>
      <c r="AW64" s="546"/>
      <c r="AX64" s="546"/>
      <c r="AY64" s="547"/>
      <c r="AZ64" s="80"/>
      <c r="BA64" s="532" t="str">
        <f>IF(COUNT(MATCH(VALUE($A56&amp;AZ$3&amp;2),記入!$A$7:$A$62,0))=0,"",INDEX(記入!$A$7:$Q$62,MATCH(VALUE($A56&amp;AZ$3&amp;2),記入!$A$7:$A$62,0),3))</f>
        <v>②</v>
      </c>
      <c r="BB64" s="532"/>
      <c r="BC64" s="546">
        <f>IF(BA64="","",INDEX(記入!$A$7:$Q$62,MATCH(VALUE($A56&amp;AZ$3&amp;2),記入!$A$7:$A$62,0),4))</f>
        <v>42645</v>
      </c>
      <c r="BD64" s="546"/>
      <c r="BE64" s="546"/>
      <c r="BF64" s="547"/>
      <c r="BG64" s="573"/>
      <c r="BH64" s="561"/>
      <c r="BI64" s="561"/>
      <c r="BJ64" s="575"/>
      <c r="BK64" s="570"/>
      <c r="BL64" s="47"/>
      <c r="BM64" s="581"/>
      <c r="BO64" s="117"/>
      <c r="BP64" s="578"/>
    </row>
    <row r="65" spans="1:68" ht="11.25" customHeight="1" x14ac:dyDescent="0.25">
      <c r="A65" s="528"/>
      <c r="B65" s="531"/>
      <c r="C65" s="543" t="str">
        <f>IF(AL15="","",AL15)</f>
        <v>金沢市民</v>
      </c>
      <c r="D65" s="534"/>
      <c r="E65" s="534"/>
      <c r="F65" s="534"/>
      <c r="G65" s="534"/>
      <c r="H65" s="534"/>
      <c r="I65" s="535"/>
      <c r="J65" s="543" t="str">
        <f>IF(AL25="","",AL25)</f>
        <v>星稜ｻｯｶｰ場</v>
      </c>
      <c r="K65" s="534"/>
      <c r="L65" s="534"/>
      <c r="M65" s="534"/>
      <c r="N65" s="534"/>
      <c r="O65" s="534"/>
      <c r="P65" s="535"/>
      <c r="Q65" s="543" t="str">
        <f>IF(AL35="","",AL35)</f>
        <v>北陸大FPB</v>
      </c>
      <c r="R65" s="534"/>
      <c r="S65" s="534"/>
      <c r="T65" s="534"/>
      <c r="U65" s="534"/>
      <c r="V65" s="534"/>
      <c r="W65" s="535"/>
      <c r="X65" s="543" t="str">
        <f>IF(AL45="","",AL45)</f>
        <v>かほく市S</v>
      </c>
      <c r="Y65" s="534"/>
      <c r="Z65" s="534"/>
      <c r="AA65" s="534"/>
      <c r="AB65" s="534"/>
      <c r="AC65" s="534"/>
      <c r="AD65" s="535"/>
      <c r="AE65" s="543" t="str">
        <f>IF(AL55="","",AL55)</f>
        <v>金沢交流</v>
      </c>
      <c r="AF65" s="534"/>
      <c r="AG65" s="534"/>
      <c r="AH65" s="534"/>
      <c r="AI65" s="534"/>
      <c r="AJ65" s="534"/>
      <c r="AK65" s="535"/>
      <c r="AL65" s="2"/>
      <c r="AM65" s="3"/>
      <c r="AN65" s="3"/>
      <c r="AO65" s="3"/>
      <c r="AP65" s="3"/>
      <c r="AQ65" s="3"/>
      <c r="AR65" s="4"/>
      <c r="AS65" s="543" t="str">
        <f>IF(AT64="","",INDEX(記入!$A$7:$Q$62,MATCH(VALUE($A56&amp;AS$3&amp;2),記入!$A$7:$A$62,0),6))</f>
        <v>金沢市民</v>
      </c>
      <c r="AT65" s="534"/>
      <c r="AU65" s="534"/>
      <c r="AV65" s="534"/>
      <c r="AW65" s="534"/>
      <c r="AX65" s="534"/>
      <c r="AY65" s="535"/>
      <c r="AZ65" s="543" t="str">
        <f>IF(BA64="","",INDEX(記入!$A$7:$Q$62,MATCH(VALUE($A56&amp;AZ$3&amp;2),記入!$A$7:$A$62,0),6))</f>
        <v>かほく市S</v>
      </c>
      <c r="BA65" s="534"/>
      <c r="BB65" s="534"/>
      <c r="BC65" s="534"/>
      <c r="BD65" s="534"/>
      <c r="BE65" s="534"/>
      <c r="BF65" s="535"/>
      <c r="BG65" s="589"/>
      <c r="BH65" s="562"/>
      <c r="BI65" s="562"/>
      <c r="BJ65" s="584"/>
      <c r="BK65" s="571"/>
      <c r="BL65" s="47"/>
      <c r="BM65" s="582"/>
      <c r="BO65" s="117"/>
      <c r="BP65" s="579"/>
    </row>
    <row r="66" spans="1:68" ht="11.25" customHeight="1" x14ac:dyDescent="0.25">
      <c r="A66" s="528">
        <v>7</v>
      </c>
      <c r="B66" s="529" t="str">
        <f>IF(編成!N$1&lt;7,"7",編成!W4)</f>
        <v>ヘミニス
金沢FC
1st</v>
      </c>
      <c r="C66" s="544">
        <f>IF(E68="","",E67+E68)</f>
        <v>0</v>
      </c>
      <c r="D66" s="537"/>
      <c r="E66" s="537"/>
      <c r="F66" s="9" t="str">
        <f>IF(E68="","",IF(C66=G66,"△",IF(C66&gt;G66,"○","●")))</f>
        <v>●</v>
      </c>
      <c r="G66" s="537">
        <f>IF(G68="","",G67+G68)</f>
        <v>1</v>
      </c>
      <c r="H66" s="537"/>
      <c r="I66" s="537"/>
      <c r="J66" s="544">
        <f>IF(L68="","",L67+L68)</f>
        <v>3</v>
      </c>
      <c r="K66" s="537"/>
      <c r="L66" s="537"/>
      <c r="M66" s="9" t="str">
        <f>IF(L68="","",IF(J66=N66,"△",IF(J66&gt;N66,"○","●")))</f>
        <v>○</v>
      </c>
      <c r="N66" s="537">
        <f>IF(N68="","",N67+N68)</f>
        <v>1</v>
      </c>
      <c r="O66" s="537"/>
      <c r="P66" s="542"/>
      <c r="Q66" s="544">
        <f>IF(S68="","",S67+S68)</f>
        <v>3</v>
      </c>
      <c r="R66" s="537"/>
      <c r="S66" s="537"/>
      <c r="T66" s="9" t="str">
        <f>IF(S68="","",IF(Q66=U66,"△",IF(Q66&gt;U66,"○","●")))</f>
        <v>○</v>
      </c>
      <c r="U66" s="537">
        <f>IF(U68="","",U67+U68)</f>
        <v>1</v>
      </c>
      <c r="V66" s="537"/>
      <c r="W66" s="542"/>
      <c r="X66" s="544">
        <f>IF(Z68="","",Z67+Z68)</f>
        <v>3</v>
      </c>
      <c r="Y66" s="537"/>
      <c r="Z66" s="537"/>
      <c r="AA66" s="9" t="str">
        <f>IF(Z68="","",IF(X66=AB66,"△",IF(X66&gt;AB66,"○","●")))</f>
        <v>○</v>
      </c>
      <c r="AB66" s="537">
        <f>IF(AB68="","",AB67+AB68)</f>
        <v>0</v>
      </c>
      <c r="AC66" s="537"/>
      <c r="AD66" s="542"/>
      <c r="AE66" s="544">
        <f>IF(AG68="","",AG67+AG68)</f>
        <v>1</v>
      </c>
      <c r="AF66" s="537"/>
      <c r="AG66" s="537"/>
      <c r="AH66" s="9" t="str">
        <f>IF(AG68="","",IF(AE66=AI66,"△",IF(AE66&gt;AI66,"○","●")))</f>
        <v>○</v>
      </c>
      <c r="AI66" s="537">
        <f>IF(AI68="","",AI67+AI68)</f>
        <v>0</v>
      </c>
      <c r="AJ66" s="537"/>
      <c r="AK66" s="542"/>
      <c r="AL66" s="544">
        <f>IF(AN68="","",AN67+AN68)</f>
        <v>3</v>
      </c>
      <c r="AM66" s="537"/>
      <c r="AN66" s="537"/>
      <c r="AO66" s="9" t="str">
        <f>IF(AN68="","",IF(AL66=AP66,"△",IF(AL66&gt;AP66,"○","●")))</f>
        <v>△</v>
      </c>
      <c r="AP66" s="537">
        <f>IF(AP68="","",AP67+AP68)</f>
        <v>3</v>
      </c>
      <c r="AQ66" s="537"/>
      <c r="AR66" s="542"/>
      <c r="AS66" s="5"/>
      <c r="AT66" s="85"/>
      <c r="AU66" s="85"/>
      <c r="AV66" s="85"/>
      <c r="AW66" s="85"/>
      <c r="AX66" s="85"/>
      <c r="AY66" s="6"/>
      <c r="AZ66" s="548">
        <f>IF(BB67="","",INDEX(記入!$A$7:$Q$62,MATCH(VALUE($A66&amp;AZ$3&amp;1),記入!$A$7:$A$62,0),9))</f>
        <v>3</v>
      </c>
      <c r="BA66" s="532"/>
      <c r="BB66" s="532"/>
      <c r="BC66" s="1" t="str">
        <f>IF(BB68="","",IF(AZ66=BD66,"△",IF(AZ66&gt;BD66,"○","●")))</f>
        <v>○</v>
      </c>
      <c r="BD66" s="532">
        <f>IF(BB67="","",INDEX(記入!$A$7:$Q$62,MATCH(VALUE($A66&amp;AZ$3&amp;1),記入!$A$7:$A$62,0),15))</f>
        <v>0</v>
      </c>
      <c r="BE66" s="532"/>
      <c r="BF66" s="539"/>
      <c r="BG66" s="588">
        <f>IF(COUNT(C67:BF67)=0,"",COUNTIF(AV$6:AV$85,"●")*3+COUNTIF(AV$6:AV$85,"△"))</f>
        <v>19</v>
      </c>
      <c r="BH66" s="560">
        <f>IF(BG66="","",SUM(AW$6:AW$85)/2)</f>
        <v>22</v>
      </c>
      <c r="BI66" s="560">
        <f>IF(BG66="","",SUM(AS$6:AS$85))</f>
        <v>23</v>
      </c>
      <c r="BJ66" s="583">
        <f>IF(BG66="","",BH66-BI66)</f>
        <v>-1</v>
      </c>
      <c r="BK66" s="569">
        <f>IF(BG66="","",RANK(BL66,BL$6:BL$85))</f>
        <v>5</v>
      </c>
      <c r="BL66" s="47">
        <f>IF(BG66="",-ROW()*10000,BG66*10000+BJ66*100+BH66+COUNTIF(C66:BF66,"&gt;=0")/20)</f>
        <v>189922.7</v>
      </c>
      <c r="BM66" s="580">
        <f>RANK(BL66,BL$6:BL$85)</f>
        <v>5</v>
      </c>
      <c r="BN66" s="1">
        <v>61</v>
      </c>
      <c r="BO66" s="118">
        <f>IF(BG66="",-ROW()*10000,BG66*10000+BJ66*100+BH66+COUNTIF(C66:BF66,"&gt;=0")/20-ROW()/1000)</f>
        <v>189922.63400000002</v>
      </c>
      <c r="BP66" s="577">
        <f>RANK(BO66,BO$6:BO$85)</f>
        <v>5</v>
      </c>
    </row>
    <row r="67" spans="1:68" ht="10.5" customHeight="1" x14ac:dyDescent="0.25">
      <c r="A67" s="528"/>
      <c r="B67" s="530"/>
      <c r="C67" s="3"/>
      <c r="D67" s="5"/>
      <c r="E67" s="15">
        <f>IF(AW7="","",AW7)</f>
        <v>0</v>
      </c>
      <c r="F67" s="3" t="s">
        <v>199</v>
      </c>
      <c r="G67" s="16">
        <f>IF(AU7="","",AU7)</f>
        <v>0</v>
      </c>
      <c r="H67" s="6"/>
      <c r="I67" s="3"/>
      <c r="J67" s="2"/>
      <c r="K67" s="5"/>
      <c r="L67" s="15">
        <f>IF(AW17="","",AW17)</f>
        <v>2</v>
      </c>
      <c r="M67" s="3" t="s">
        <v>199</v>
      </c>
      <c r="N67" s="16">
        <f>IF(AU17="","",AU17)</f>
        <v>0</v>
      </c>
      <c r="O67" s="6"/>
      <c r="P67" s="4"/>
      <c r="Q67" s="2"/>
      <c r="R67" s="5"/>
      <c r="S67" s="15">
        <f>IF(AW27="","",AW27)</f>
        <v>0</v>
      </c>
      <c r="T67" s="3" t="s">
        <v>199</v>
      </c>
      <c r="U67" s="16">
        <f>IF(AU27="","",AU27)</f>
        <v>0</v>
      </c>
      <c r="V67" s="6"/>
      <c r="W67" s="4"/>
      <c r="X67" s="2"/>
      <c r="Y67" s="5"/>
      <c r="Z67" s="15">
        <f>IF(AW37="","",AW37)</f>
        <v>0</v>
      </c>
      <c r="AA67" s="3" t="s">
        <v>199</v>
      </c>
      <c r="AB67" s="16">
        <f>IF(AU37="","",AU37)</f>
        <v>0</v>
      </c>
      <c r="AC67" s="6"/>
      <c r="AD67" s="4"/>
      <c r="AE67" s="2"/>
      <c r="AF67" s="5"/>
      <c r="AG67" s="15">
        <f>IF(AW47="","",AW47)</f>
        <v>0</v>
      </c>
      <c r="AH67" s="3" t="s">
        <v>199</v>
      </c>
      <c r="AI67" s="16">
        <f>IF(AU47="","",AU47)</f>
        <v>0</v>
      </c>
      <c r="AJ67" s="6"/>
      <c r="AK67" s="4"/>
      <c r="AL67" s="2"/>
      <c r="AM67" s="5"/>
      <c r="AN67" s="15">
        <f>IF(AW57="","",AW57)</f>
        <v>0</v>
      </c>
      <c r="AO67" s="3" t="s">
        <v>199</v>
      </c>
      <c r="AP67" s="16">
        <f>IF(AU57="","",AU57)</f>
        <v>2</v>
      </c>
      <c r="AQ67" s="6"/>
      <c r="AR67" s="4"/>
      <c r="AS67" s="2"/>
      <c r="AT67" s="3"/>
      <c r="AU67" s="3"/>
      <c r="AV67" s="3"/>
      <c r="AW67" s="3"/>
      <c r="AX67" s="3"/>
      <c r="AY67" s="4"/>
      <c r="AZ67" s="2"/>
      <c r="BA67" s="5"/>
      <c r="BB67" s="15">
        <f>IF(BA69="","",IF(INDEX(記入!$A$7:$Q$62,MATCH(VALUE($A66&amp;AZ$3&amp;1),記入!$A$7:$A$62,0),11)="","",INDEX(記入!$A$7:$Q$62,MATCH(VALUE($A66&amp;AZ$3&amp;1),記入!$A$7:$A$62,0),11)))</f>
        <v>0</v>
      </c>
      <c r="BC67" s="3" t="s">
        <v>199</v>
      </c>
      <c r="BD67" s="16">
        <f>IF(BB67="","",INDEX(記入!$A$7:$Q$62,MATCH(VALUE($A66&amp;AZ$3&amp;1),記入!$A$7:$A$62,0),13))</f>
        <v>0</v>
      </c>
      <c r="BE67" s="6"/>
      <c r="BF67" s="4"/>
      <c r="BG67" s="573"/>
      <c r="BH67" s="561"/>
      <c r="BI67" s="561"/>
      <c r="BJ67" s="575"/>
      <c r="BK67" s="570"/>
      <c r="BL67" s="47"/>
      <c r="BM67" s="581"/>
      <c r="BO67" s="117"/>
      <c r="BP67" s="578"/>
    </row>
    <row r="68" spans="1:68" ht="10.5" customHeight="1" x14ac:dyDescent="0.25">
      <c r="A68" s="528"/>
      <c r="B68" s="530"/>
      <c r="C68" s="3"/>
      <c r="D68" s="7"/>
      <c r="E68" s="15">
        <f>IF(AW8="","",AW8)</f>
        <v>0</v>
      </c>
      <c r="F68" s="3" t="s">
        <v>199</v>
      </c>
      <c r="G68" s="16">
        <f>IF(AU8="","",AU8)</f>
        <v>1</v>
      </c>
      <c r="H68" s="8"/>
      <c r="I68" s="3"/>
      <c r="J68" s="2"/>
      <c r="K68" s="7"/>
      <c r="L68" s="15">
        <f>IF(AW18="","",AW18)</f>
        <v>1</v>
      </c>
      <c r="M68" s="3" t="s">
        <v>199</v>
      </c>
      <c r="N68" s="16">
        <f>IF(AU18="","",AU18)</f>
        <v>1</v>
      </c>
      <c r="O68" s="8"/>
      <c r="P68" s="4"/>
      <c r="Q68" s="2"/>
      <c r="R68" s="7"/>
      <c r="S68" s="15">
        <f>IF(AW28="","",AW28)</f>
        <v>3</v>
      </c>
      <c r="T68" s="3" t="s">
        <v>199</v>
      </c>
      <c r="U68" s="16">
        <f>IF(AU28="","",AU28)</f>
        <v>1</v>
      </c>
      <c r="V68" s="8"/>
      <c r="W68" s="4"/>
      <c r="X68" s="2"/>
      <c r="Y68" s="7"/>
      <c r="Z68" s="15">
        <f>IF(AW38="","",AW38)</f>
        <v>3</v>
      </c>
      <c r="AA68" s="3" t="s">
        <v>199</v>
      </c>
      <c r="AB68" s="16">
        <f>IF(AU38="","",AU38)</f>
        <v>0</v>
      </c>
      <c r="AC68" s="8"/>
      <c r="AD68" s="4"/>
      <c r="AE68" s="2"/>
      <c r="AF68" s="7"/>
      <c r="AG68" s="15">
        <f>IF(AW48="","",AW48)</f>
        <v>1</v>
      </c>
      <c r="AH68" s="3" t="s">
        <v>199</v>
      </c>
      <c r="AI68" s="16">
        <f>IF(AU48="","",AU48)</f>
        <v>0</v>
      </c>
      <c r="AJ68" s="8"/>
      <c r="AK68" s="4"/>
      <c r="AL68" s="2"/>
      <c r="AM68" s="7"/>
      <c r="AN68" s="15">
        <f>IF(AW58="","",AW58)</f>
        <v>3</v>
      </c>
      <c r="AO68" s="3" t="s">
        <v>199</v>
      </c>
      <c r="AP68" s="16">
        <f>IF(AU58="","",AU58)</f>
        <v>1</v>
      </c>
      <c r="AQ68" s="8"/>
      <c r="AR68" s="4"/>
      <c r="AS68" s="2"/>
      <c r="AT68" s="3"/>
      <c r="AU68" s="3"/>
      <c r="AV68" s="3"/>
      <c r="AW68" s="3"/>
      <c r="AX68" s="3"/>
      <c r="AY68" s="4"/>
      <c r="AZ68" s="2"/>
      <c r="BA68" s="7"/>
      <c r="BB68" s="15">
        <f>IF(BB67="","",AZ66-BB67)</f>
        <v>3</v>
      </c>
      <c r="BC68" s="3" t="s">
        <v>199</v>
      </c>
      <c r="BD68" s="16">
        <f>IF(BD67="","",BD66-BD67)</f>
        <v>0</v>
      </c>
      <c r="BE68" s="8"/>
      <c r="BF68" s="4"/>
      <c r="BG68" s="573"/>
      <c r="BH68" s="561"/>
      <c r="BI68" s="561"/>
      <c r="BJ68" s="575"/>
      <c r="BK68" s="570"/>
      <c r="BL68" s="47"/>
      <c r="BM68" s="581"/>
      <c r="BO68" s="117"/>
      <c r="BP68" s="578"/>
    </row>
    <row r="69" spans="1:68" ht="11.25" customHeight="1" x14ac:dyDescent="0.25">
      <c r="A69" s="528"/>
      <c r="B69" s="530"/>
      <c r="C69" s="51"/>
      <c r="D69" s="532" t="str">
        <f>IF(C70="","",AT9)</f>
        <v>⑥</v>
      </c>
      <c r="E69" s="532"/>
      <c r="F69" s="540">
        <f>IF(C70="","",AV9)</f>
        <v>42518</v>
      </c>
      <c r="G69" s="540"/>
      <c r="H69" s="540"/>
      <c r="I69" s="540"/>
      <c r="J69" s="51"/>
      <c r="K69" s="532" t="str">
        <f>IF(J70="","",AT19)</f>
        <v>①</v>
      </c>
      <c r="L69" s="532"/>
      <c r="M69" s="540">
        <f>IF(J70="","",AV19)</f>
        <v>42489</v>
      </c>
      <c r="N69" s="540"/>
      <c r="O69" s="540"/>
      <c r="P69" s="541"/>
      <c r="Q69" s="51"/>
      <c r="R69" s="532" t="str">
        <f>IF(Q70="","",AT29)</f>
        <v>②</v>
      </c>
      <c r="S69" s="532"/>
      <c r="T69" s="540">
        <f>IF(Q70="","",AV29)</f>
        <v>42493</v>
      </c>
      <c r="U69" s="540"/>
      <c r="V69" s="540"/>
      <c r="W69" s="541"/>
      <c r="X69" s="51"/>
      <c r="Y69" s="532" t="str">
        <f>IF(X70="","",AT39)</f>
        <v>④</v>
      </c>
      <c r="Z69" s="532"/>
      <c r="AA69" s="540">
        <f>IF(X70="","",AV39)</f>
        <v>42505</v>
      </c>
      <c r="AB69" s="540"/>
      <c r="AC69" s="540"/>
      <c r="AD69" s="541"/>
      <c r="AE69" s="51"/>
      <c r="AF69" s="532" t="str">
        <f>IF(AE70="","",AT49)</f>
        <v>⑤</v>
      </c>
      <c r="AG69" s="532"/>
      <c r="AH69" s="540">
        <f>IF(AE70="","",AV49)</f>
        <v>42512</v>
      </c>
      <c r="AI69" s="540"/>
      <c r="AJ69" s="540"/>
      <c r="AK69" s="541"/>
      <c r="AL69" s="51"/>
      <c r="AM69" s="532" t="str">
        <f>IF(AL70="","",AT59)</f>
        <v>⑦</v>
      </c>
      <c r="AN69" s="532"/>
      <c r="AO69" s="540">
        <f>IF(AL70="","",AV59)</f>
        <v>42546</v>
      </c>
      <c r="AP69" s="540"/>
      <c r="AQ69" s="540"/>
      <c r="AR69" s="541"/>
      <c r="AS69" s="2"/>
      <c r="AT69" s="3"/>
      <c r="AU69" s="3"/>
      <c r="AV69" s="3"/>
      <c r="AW69" s="3"/>
      <c r="AX69" s="3"/>
      <c r="AY69" s="4"/>
      <c r="AZ69" s="80"/>
      <c r="BA69" s="532" t="str">
        <f>IF(COUNT(MATCH(VALUE($A66&amp;AZ$3&amp;1),記入!$A$7:$A$62,0))=0,"",INDEX(記入!$A$7:$Q$62,MATCH(VALUE($A66&amp;AZ$3&amp;1),記入!$A$7:$A$62,0),3))</f>
        <v>③</v>
      </c>
      <c r="BB69" s="532"/>
      <c r="BC69" s="546">
        <f>IF(BA69="","",INDEX(記入!$A$7:$Q$62,MATCH(VALUE($A66&amp;AZ$3&amp;1),記入!$A$7:$A$62,0),4))</f>
        <v>42498</v>
      </c>
      <c r="BD69" s="546"/>
      <c r="BE69" s="546"/>
      <c r="BF69" s="547"/>
      <c r="BG69" s="573"/>
      <c r="BH69" s="561"/>
      <c r="BI69" s="561"/>
      <c r="BJ69" s="575"/>
      <c r="BK69" s="570"/>
      <c r="BL69" s="47"/>
      <c r="BM69" s="581"/>
      <c r="BO69" s="117"/>
      <c r="BP69" s="578"/>
    </row>
    <row r="70" spans="1:68" ht="11.25" customHeight="1" x14ac:dyDescent="0.25">
      <c r="A70" s="528"/>
      <c r="B70" s="530"/>
      <c r="C70" s="533" t="str">
        <f>IF(AS10="","",AS10)</f>
        <v>金沢市民</v>
      </c>
      <c r="D70" s="534"/>
      <c r="E70" s="534"/>
      <c r="F70" s="534"/>
      <c r="G70" s="534"/>
      <c r="H70" s="534"/>
      <c r="I70" s="534"/>
      <c r="J70" s="543" t="str">
        <f>IF(AS20="","",AS20)</f>
        <v>能登島Ｂ</v>
      </c>
      <c r="K70" s="534"/>
      <c r="L70" s="534"/>
      <c r="M70" s="534"/>
      <c r="N70" s="534"/>
      <c r="O70" s="534"/>
      <c r="P70" s="535"/>
      <c r="Q70" s="543" t="str">
        <f>IF(AS30="","",AS30)</f>
        <v>金沢交流</v>
      </c>
      <c r="R70" s="534"/>
      <c r="S70" s="534"/>
      <c r="T70" s="534"/>
      <c r="U70" s="534"/>
      <c r="V70" s="534"/>
      <c r="W70" s="535"/>
      <c r="X70" s="543" t="str">
        <f>IF(AS40="","",AS40)</f>
        <v>かほく市S</v>
      </c>
      <c r="Y70" s="534"/>
      <c r="Z70" s="534"/>
      <c r="AA70" s="534"/>
      <c r="AB70" s="534"/>
      <c r="AC70" s="534"/>
      <c r="AD70" s="535"/>
      <c r="AE70" s="543" t="str">
        <f>IF(AS50="","",AS50)</f>
        <v>加賀陸上</v>
      </c>
      <c r="AF70" s="534"/>
      <c r="AG70" s="534"/>
      <c r="AH70" s="534"/>
      <c r="AI70" s="534"/>
      <c r="AJ70" s="534"/>
      <c r="AK70" s="535"/>
      <c r="AL70" s="543" t="str">
        <f>IF(AS60="","",AS60)</f>
        <v>能登島Ｂ</v>
      </c>
      <c r="AM70" s="534"/>
      <c r="AN70" s="534"/>
      <c r="AO70" s="534"/>
      <c r="AP70" s="534"/>
      <c r="AQ70" s="534"/>
      <c r="AR70" s="535"/>
      <c r="AS70" s="2"/>
      <c r="AT70" s="3"/>
      <c r="AU70" s="3"/>
      <c r="AV70" s="3"/>
      <c r="AW70" s="3"/>
      <c r="AX70" s="3"/>
      <c r="AY70" s="4"/>
      <c r="AZ70" s="548" t="str">
        <f>IF(BA69="","",INDEX(記入!$A$7:$Q$62,MATCH(VALUE($A66&amp;AZ$3&amp;1),記入!$A$7:$A$62,0),6))</f>
        <v>金沢交流</v>
      </c>
      <c r="BA70" s="532"/>
      <c r="BB70" s="532"/>
      <c r="BC70" s="532"/>
      <c r="BD70" s="532"/>
      <c r="BE70" s="532"/>
      <c r="BF70" s="539"/>
      <c r="BG70" s="573"/>
      <c r="BH70" s="561"/>
      <c r="BI70" s="561"/>
      <c r="BJ70" s="575"/>
      <c r="BK70" s="570"/>
      <c r="BL70" s="47"/>
      <c r="BM70" s="581"/>
      <c r="BO70" s="117"/>
      <c r="BP70" s="578"/>
    </row>
    <row r="71" spans="1:68" ht="11.25" customHeight="1" x14ac:dyDescent="0.25">
      <c r="A71" s="528"/>
      <c r="B71" s="530"/>
      <c r="C71" s="544">
        <f>IF(E73="","",E72+E73)</f>
        <v>1</v>
      </c>
      <c r="D71" s="537"/>
      <c r="E71" s="537"/>
      <c r="F71" s="9" t="str">
        <f>IF(E73="","",IF(C71=G71,"△",IF(C71&gt;G71,"○","●")))</f>
        <v>●</v>
      </c>
      <c r="G71" s="537">
        <f>IF(G73="","",G72+G73)</f>
        <v>3</v>
      </c>
      <c r="H71" s="537"/>
      <c r="I71" s="537"/>
      <c r="J71" s="544">
        <f>IF(L73="","",L72+L73)</f>
        <v>1</v>
      </c>
      <c r="K71" s="537"/>
      <c r="L71" s="537"/>
      <c r="M71" s="9" t="str">
        <f>IF(L73="","",IF(J71=N71,"△",IF(J71&gt;N71,"○","●")))</f>
        <v>●</v>
      </c>
      <c r="N71" s="537">
        <f>IF(N73="","",N72+N73)</f>
        <v>4</v>
      </c>
      <c r="O71" s="537"/>
      <c r="P71" s="542"/>
      <c r="Q71" s="544" t="str">
        <f>IF(S73="","",S72+S73)</f>
        <v/>
      </c>
      <c r="R71" s="537"/>
      <c r="S71" s="537"/>
      <c r="T71" s="9" t="str">
        <f>IF(S73="","",IF(Q71=U71,"△",IF(Q71&gt;U71,"○","●")))</f>
        <v/>
      </c>
      <c r="U71" s="537" t="str">
        <f>IF(U73="","",U72+U73)</f>
        <v/>
      </c>
      <c r="V71" s="537"/>
      <c r="W71" s="542"/>
      <c r="X71" s="544" t="str">
        <f>IF(Z73="","",Z72+Z73)</f>
        <v/>
      </c>
      <c r="Y71" s="537"/>
      <c r="Z71" s="537"/>
      <c r="AA71" s="9" t="str">
        <f>IF(Z73="","",IF(X71=AB71,"△",IF(X71&gt;AB71,"○","●")))</f>
        <v/>
      </c>
      <c r="AB71" s="537" t="str">
        <f>IF(AB73="","",AB72+AB73)</f>
        <v/>
      </c>
      <c r="AC71" s="537"/>
      <c r="AD71" s="542"/>
      <c r="AE71" s="544">
        <f>IF(AG73="","",AG72+AG73)</f>
        <v>4</v>
      </c>
      <c r="AF71" s="537"/>
      <c r="AG71" s="537"/>
      <c r="AH71" s="9" t="str">
        <f>IF(AG73="","",IF(AE71=AI71,"△",IF(AE71&gt;AI71,"○","●")))</f>
        <v>○</v>
      </c>
      <c r="AI71" s="537">
        <f>IF(AI73="","",AI72+AI73)</f>
        <v>1</v>
      </c>
      <c r="AJ71" s="537"/>
      <c r="AK71" s="542"/>
      <c r="AL71" s="544">
        <f>IF(AN73="","",AN72+AN73)</f>
        <v>0</v>
      </c>
      <c r="AM71" s="537"/>
      <c r="AN71" s="537"/>
      <c r="AO71" s="9" t="str">
        <f>IF(AN73="","",IF(AL71=AP71,"△",IF(AL71&gt;AP71,"○","●")))</f>
        <v>●</v>
      </c>
      <c r="AP71" s="537">
        <f>IF(AP73="","",AP72+AP73)</f>
        <v>9</v>
      </c>
      <c r="AQ71" s="537"/>
      <c r="AR71" s="542"/>
      <c r="AS71" s="2"/>
      <c r="AT71" s="3"/>
      <c r="AU71" s="3"/>
      <c r="AV71" s="3"/>
      <c r="AW71" s="3"/>
      <c r="AX71" s="3"/>
      <c r="AY71" s="4"/>
      <c r="AZ71" s="544" t="str">
        <f>IF(BB72="","",INDEX(記入!$A$7:$Q$62,MATCH(VALUE($A66&amp;AZ$3&amp;2),記入!$A$7:$A$62,0),9))</f>
        <v/>
      </c>
      <c r="BA71" s="537"/>
      <c r="BB71" s="537"/>
      <c r="BC71" s="9" t="str">
        <f>IF(BB73="","",IF(AZ71=BD71,"△",IF(AZ71&gt;BD71,"○","●")))</f>
        <v/>
      </c>
      <c r="BD71" s="537" t="str">
        <f>IF(BB72="","",INDEX(記入!$A$7:$Q$62,MATCH(VALUE($A66&amp;AZ$3&amp;2),記入!$A$7:$A$62,0),15))</f>
        <v/>
      </c>
      <c r="BE71" s="537"/>
      <c r="BF71" s="542"/>
      <c r="BG71" s="573"/>
      <c r="BH71" s="561"/>
      <c r="BI71" s="561"/>
      <c r="BJ71" s="575"/>
      <c r="BK71" s="570"/>
      <c r="BL71" s="47"/>
      <c r="BM71" s="581"/>
      <c r="BO71" s="117"/>
      <c r="BP71" s="578"/>
    </row>
    <row r="72" spans="1:68" ht="11.25" customHeight="1" x14ac:dyDescent="0.25">
      <c r="A72" s="528"/>
      <c r="B72" s="530"/>
      <c r="C72" s="3"/>
      <c r="D72" s="5"/>
      <c r="E72" s="15">
        <f>IF(AW12="","",AW12)</f>
        <v>1</v>
      </c>
      <c r="F72" s="3" t="s">
        <v>199</v>
      </c>
      <c r="G72" s="16">
        <f>IF(AU12="","",AU12)</f>
        <v>0</v>
      </c>
      <c r="H72" s="6"/>
      <c r="I72" s="3"/>
      <c r="J72" s="2"/>
      <c r="K72" s="5"/>
      <c r="L72" s="15">
        <f>IF(AW22="","",AW22)</f>
        <v>0</v>
      </c>
      <c r="M72" s="3" t="s">
        <v>199</v>
      </c>
      <c r="N72" s="16">
        <f>IF(AU22="","",AU22)</f>
        <v>2</v>
      </c>
      <c r="O72" s="6"/>
      <c r="P72" s="4"/>
      <c r="Q72" s="2"/>
      <c r="R72" s="5"/>
      <c r="S72" s="15" t="str">
        <f>IF(AW32="","",AW32)</f>
        <v/>
      </c>
      <c r="T72" s="3" t="s">
        <v>199</v>
      </c>
      <c r="U72" s="16" t="str">
        <f>IF(AU32="","",AU32)</f>
        <v/>
      </c>
      <c r="V72" s="6"/>
      <c r="W72" s="4"/>
      <c r="X72" s="2"/>
      <c r="Y72" s="5"/>
      <c r="Z72" s="15" t="str">
        <f>IF(AW42="","",AW42)</f>
        <v/>
      </c>
      <c r="AA72" s="3" t="s">
        <v>199</v>
      </c>
      <c r="AB72" s="16" t="str">
        <f>IF(AU42="","",AU42)</f>
        <v/>
      </c>
      <c r="AC72" s="6"/>
      <c r="AD72" s="4"/>
      <c r="AE72" s="2"/>
      <c r="AF72" s="5"/>
      <c r="AG72" s="15">
        <f>IF(AW52="","",AW52)</f>
        <v>2</v>
      </c>
      <c r="AH72" s="3" t="s">
        <v>199</v>
      </c>
      <c r="AI72" s="16">
        <f>IF(AU52="","",AU52)</f>
        <v>1</v>
      </c>
      <c r="AJ72" s="6"/>
      <c r="AK72" s="4"/>
      <c r="AL72" s="2"/>
      <c r="AM72" s="5"/>
      <c r="AN72" s="15">
        <f>IF(AW62="","",AW62)</f>
        <v>0</v>
      </c>
      <c r="AO72" s="3" t="s">
        <v>199</v>
      </c>
      <c r="AP72" s="16">
        <f>IF(AU62="","",AU62)</f>
        <v>2</v>
      </c>
      <c r="AQ72" s="6"/>
      <c r="AR72" s="4"/>
      <c r="AS72" s="2"/>
      <c r="AT72" s="3"/>
      <c r="AU72" s="3"/>
      <c r="AV72" s="3"/>
      <c r="AW72" s="3"/>
      <c r="AX72" s="3"/>
      <c r="AY72" s="4"/>
      <c r="AZ72" s="2"/>
      <c r="BA72" s="5"/>
      <c r="BB72" s="15" t="str">
        <f>IF(BA74="","",IF(INDEX(記入!$A$7:$Q$62,MATCH(VALUE($A66&amp;AZ$3&amp;2),記入!$A$7:$A$62,0),11)="","",INDEX(記入!$A$7:$Q$62,MATCH(VALUE($A66&amp;AZ$3&amp;2),記入!$A$7:$A$62,0),11)))</f>
        <v/>
      </c>
      <c r="BC72" s="3" t="s">
        <v>199</v>
      </c>
      <c r="BD72" s="16" t="str">
        <f>IF(BB72="","",INDEX(記入!$A$7:$Q$62,MATCH(VALUE($A66&amp;AZ$3&amp;2),記入!$A$7:$A$62,0),13))</f>
        <v/>
      </c>
      <c r="BE72" s="6"/>
      <c r="BF72" s="4"/>
      <c r="BG72" s="573"/>
      <c r="BH72" s="561"/>
      <c r="BI72" s="561"/>
      <c r="BJ72" s="575"/>
      <c r="BK72" s="570"/>
      <c r="BL72" s="47"/>
      <c r="BM72" s="581"/>
      <c r="BO72" s="117"/>
      <c r="BP72" s="578"/>
    </row>
    <row r="73" spans="1:68" ht="11.25" customHeight="1" x14ac:dyDescent="0.25">
      <c r="A73" s="528"/>
      <c r="B73" s="530"/>
      <c r="C73" s="3"/>
      <c r="D73" s="7"/>
      <c r="E73" s="15">
        <f>IF(AW13="","",AW13)</f>
        <v>0</v>
      </c>
      <c r="F73" s="3" t="s">
        <v>199</v>
      </c>
      <c r="G73" s="16">
        <f>IF(AU13="","",AU13)</f>
        <v>3</v>
      </c>
      <c r="H73" s="8"/>
      <c r="I73" s="3"/>
      <c r="J73" s="2"/>
      <c r="K73" s="7"/>
      <c r="L73" s="15">
        <f>IF(AW23="","",AW23)</f>
        <v>1</v>
      </c>
      <c r="M73" s="3" t="s">
        <v>199</v>
      </c>
      <c r="N73" s="16">
        <f>IF(AU23="","",AU23)</f>
        <v>2</v>
      </c>
      <c r="O73" s="8"/>
      <c r="P73" s="4"/>
      <c r="Q73" s="2"/>
      <c r="R73" s="7"/>
      <c r="S73" s="15" t="str">
        <f>IF(AW33="","",AW33)</f>
        <v/>
      </c>
      <c r="T73" s="3" t="s">
        <v>199</v>
      </c>
      <c r="U73" s="16" t="str">
        <f>IF(AU33="","",AU33)</f>
        <v/>
      </c>
      <c r="V73" s="8"/>
      <c r="W73" s="4"/>
      <c r="X73" s="2"/>
      <c r="Y73" s="7"/>
      <c r="Z73" s="15" t="str">
        <f>IF(AW43="","",AW43)</f>
        <v/>
      </c>
      <c r="AA73" s="3" t="s">
        <v>199</v>
      </c>
      <c r="AB73" s="16" t="str">
        <f>IF(AU43="","",AU43)</f>
        <v/>
      </c>
      <c r="AC73" s="8"/>
      <c r="AD73" s="4"/>
      <c r="AE73" s="2"/>
      <c r="AF73" s="7"/>
      <c r="AG73" s="15">
        <f>IF(AW53="","",AW53)</f>
        <v>2</v>
      </c>
      <c r="AH73" s="3" t="s">
        <v>199</v>
      </c>
      <c r="AI73" s="16">
        <f>IF(AU53="","",AU53)</f>
        <v>0</v>
      </c>
      <c r="AJ73" s="8"/>
      <c r="AK73" s="4"/>
      <c r="AL73" s="2"/>
      <c r="AM73" s="7"/>
      <c r="AN73" s="15">
        <f>IF(AW63="","",AW63)</f>
        <v>0</v>
      </c>
      <c r="AO73" s="3" t="s">
        <v>199</v>
      </c>
      <c r="AP73" s="16">
        <f>IF(AU63="","",AU63)</f>
        <v>7</v>
      </c>
      <c r="AQ73" s="8"/>
      <c r="AR73" s="4"/>
      <c r="AS73" s="2"/>
      <c r="AT73" s="3"/>
      <c r="AU73" s="3"/>
      <c r="AV73" s="3"/>
      <c r="AW73" s="3"/>
      <c r="AX73" s="3"/>
      <c r="AY73" s="4"/>
      <c r="AZ73" s="2"/>
      <c r="BA73" s="7"/>
      <c r="BB73" s="15" t="str">
        <f>IF(BB72="","",AZ71-BB72)</f>
        <v/>
      </c>
      <c r="BC73" s="3" t="s">
        <v>199</v>
      </c>
      <c r="BD73" s="16" t="str">
        <f>IF(BD72="","",BD71-BD72)</f>
        <v/>
      </c>
      <c r="BE73" s="8"/>
      <c r="BF73" s="4"/>
      <c r="BG73" s="573"/>
      <c r="BH73" s="561"/>
      <c r="BI73" s="561"/>
      <c r="BJ73" s="575"/>
      <c r="BK73" s="570"/>
      <c r="BL73" s="47"/>
      <c r="BM73" s="581"/>
      <c r="BO73" s="117"/>
      <c r="BP73" s="578"/>
    </row>
    <row r="74" spans="1:68" ht="11.25" customHeight="1" x14ac:dyDescent="0.25">
      <c r="A74" s="528"/>
      <c r="B74" s="530"/>
      <c r="C74" s="51"/>
      <c r="D74" s="532" t="str">
        <f>IF(C75="","",AT14)</f>
        <v>⑧</v>
      </c>
      <c r="E74" s="532"/>
      <c r="F74" s="540">
        <f>IF(C75="","",AV14)</f>
        <v>42574</v>
      </c>
      <c r="G74" s="540"/>
      <c r="H74" s="540"/>
      <c r="I74" s="540"/>
      <c r="J74" s="51"/>
      <c r="K74" s="532" t="str">
        <f>IF(J75="","",AT24)</f>
        <v>②</v>
      </c>
      <c r="L74" s="532"/>
      <c r="M74" s="540">
        <f>IF(J75="","",AV24)</f>
        <v>42644</v>
      </c>
      <c r="N74" s="540"/>
      <c r="O74" s="540"/>
      <c r="P74" s="541"/>
      <c r="Q74" s="51"/>
      <c r="R74" s="532" t="str">
        <f>IF(Q75="","",AT34)</f>
        <v>②</v>
      </c>
      <c r="S74" s="532"/>
      <c r="T74" s="540">
        <f>IF(Q75="","",AV34)</f>
        <v>42659</v>
      </c>
      <c r="U74" s="540"/>
      <c r="V74" s="540"/>
      <c r="W74" s="541"/>
      <c r="X74" s="51"/>
      <c r="Y74" s="532" t="str">
        <f>IF(X75="","",AT44)</f>
        <v>②</v>
      </c>
      <c r="Z74" s="532"/>
      <c r="AA74" s="540">
        <f>IF(X75="","",AV44)</f>
        <v>42677</v>
      </c>
      <c r="AB74" s="540"/>
      <c r="AC74" s="540"/>
      <c r="AD74" s="541"/>
      <c r="AE74" s="51"/>
      <c r="AF74" s="532" t="str">
        <f>IF(AE75="","",AT54)</f>
        <v>②</v>
      </c>
      <c r="AG74" s="532"/>
      <c r="AH74" s="540">
        <f>IF(AE75="","",AV54)</f>
        <v>42617</v>
      </c>
      <c r="AI74" s="540"/>
      <c r="AJ74" s="540"/>
      <c r="AK74" s="541"/>
      <c r="AL74" s="51"/>
      <c r="AM74" s="532" t="str">
        <f>IF(AL75="","",AT64)</f>
        <v>⑨</v>
      </c>
      <c r="AN74" s="532"/>
      <c r="AO74" s="540">
        <f>IF(AL75="","",AV64)</f>
        <v>42581</v>
      </c>
      <c r="AP74" s="540"/>
      <c r="AQ74" s="540"/>
      <c r="AR74" s="541"/>
      <c r="AS74" s="2"/>
      <c r="AT74" s="3"/>
      <c r="AU74" s="3"/>
      <c r="AV74" s="3"/>
      <c r="AW74" s="3"/>
      <c r="AX74" s="3"/>
      <c r="AY74" s="4"/>
      <c r="AZ74" s="80"/>
      <c r="BA74" s="532" t="str">
        <f>IF(COUNT(MATCH(VALUE($A66&amp;AZ$3&amp;2),記入!$A$7:$A$62,0))=0,"",INDEX(記入!$A$7:$Q$62,MATCH(VALUE($A66&amp;AZ$3&amp;2),記入!$A$7:$A$62,0),3))</f>
        <v>②</v>
      </c>
      <c r="BB74" s="532"/>
      <c r="BC74" s="546">
        <f>IF(BA74="","",INDEX(記入!$A$7:$Q$62,MATCH(VALUE($A66&amp;AZ$3&amp;2),記入!$A$7:$A$62,0),4))</f>
        <v>42665</v>
      </c>
      <c r="BD74" s="546"/>
      <c r="BE74" s="546"/>
      <c r="BF74" s="547"/>
      <c r="BG74" s="573"/>
      <c r="BH74" s="561"/>
      <c r="BI74" s="561"/>
      <c r="BJ74" s="575"/>
      <c r="BK74" s="570"/>
      <c r="BL74" s="47"/>
      <c r="BM74" s="581"/>
      <c r="BO74" s="117"/>
      <c r="BP74" s="578"/>
    </row>
    <row r="75" spans="1:68" ht="11.25" customHeight="1" x14ac:dyDescent="0.25">
      <c r="A75" s="528"/>
      <c r="B75" s="531"/>
      <c r="C75" s="533" t="str">
        <f>IF(AS15="","",AS15)</f>
        <v>北陸大FPB</v>
      </c>
      <c r="D75" s="534"/>
      <c r="E75" s="534"/>
      <c r="F75" s="534"/>
      <c r="G75" s="534"/>
      <c r="H75" s="534"/>
      <c r="I75" s="534"/>
      <c r="J75" s="543" t="str">
        <f>IF(AS25="","",AS25)</f>
        <v>金沢市民</v>
      </c>
      <c r="K75" s="534"/>
      <c r="L75" s="534"/>
      <c r="M75" s="534"/>
      <c r="N75" s="534"/>
      <c r="O75" s="534"/>
      <c r="P75" s="535"/>
      <c r="Q75" s="543" t="str">
        <f>IF(AS35="","",AS35)</f>
        <v>かほく市S</v>
      </c>
      <c r="R75" s="534"/>
      <c r="S75" s="534"/>
      <c r="T75" s="534"/>
      <c r="U75" s="534"/>
      <c r="V75" s="534"/>
      <c r="W75" s="535"/>
      <c r="X75" s="543" t="str">
        <f>IF(AS45="","",AS45)</f>
        <v>金沢市民</v>
      </c>
      <c r="Y75" s="534"/>
      <c r="Z75" s="534"/>
      <c r="AA75" s="534"/>
      <c r="AB75" s="534"/>
      <c r="AC75" s="534"/>
      <c r="AD75" s="535"/>
      <c r="AE75" s="543" t="str">
        <f>IF(AS55="","",AS55)</f>
        <v>小松市民</v>
      </c>
      <c r="AF75" s="534"/>
      <c r="AG75" s="534"/>
      <c r="AH75" s="534"/>
      <c r="AI75" s="534"/>
      <c r="AJ75" s="534"/>
      <c r="AK75" s="535"/>
      <c r="AL75" s="543" t="str">
        <f>IF(AS65="","",AS65)</f>
        <v>金沢市民</v>
      </c>
      <c r="AM75" s="534"/>
      <c r="AN75" s="534"/>
      <c r="AO75" s="534"/>
      <c r="AP75" s="534"/>
      <c r="AQ75" s="534"/>
      <c r="AR75" s="535"/>
      <c r="AS75" s="2"/>
      <c r="AT75" s="3"/>
      <c r="AU75" s="3"/>
      <c r="AV75" s="3"/>
      <c r="AW75" s="3"/>
      <c r="AX75" s="3"/>
      <c r="AY75" s="4"/>
      <c r="AZ75" s="543" t="str">
        <f>IF(BA74="","",INDEX(記入!$A$7:$Q$62,MATCH(VALUE($A66&amp;AZ$3&amp;2),記入!$A$7:$A$62,0),6))</f>
        <v>金沢交流</v>
      </c>
      <c r="BA75" s="534"/>
      <c r="BB75" s="534"/>
      <c r="BC75" s="534"/>
      <c r="BD75" s="534"/>
      <c r="BE75" s="534"/>
      <c r="BF75" s="535"/>
      <c r="BG75" s="589"/>
      <c r="BH75" s="562"/>
      <c r="BI75" s="562"/>
      <c r="BJ75" s="584"/>
      <c r="BK75" s="571"/>
      <c r="BL75" s="47"/>
      <c r="BM75" s="582"/>
      <c r="BO75" s="117"/>
      <c r="BP75" s="579"/>
    </row>
    <row r="76" spans="1:68" ht="11.25" customHeight="1" x14ac:dyDescent="0.25">
      <c r="A76" s="528">
        <v>8</v>
      </c>
      <c r="B76" s="529" t="str">
        <f>IF(編成!N$1&lt;8,"8",編成!Z4)</f>
        <v>テイヘンズ
FC　1st</v>
      </c>
      <c r="C76" s="544">
        <f>IF(E78="","",E77+E78)</f>
        <v>1</v>
      </c>
      <c r="D76" s="537"/>
      <c r="E76" s="537"/>
      <c r="F76" s="9" t="str">
        <f>IF(E78="","",IF(C76=G76,"△",IF(C76&gt;G76,"○","●")))</f>
        <v>●</v>
      </c>
      <c r="G76" s="537">
        <f>IF(G78="","",G77+G78)</f>
        <v>8</v>
      </c>
      <c r="H76" s="537"/>
      <c r="I76" s="537"/>
      <c r="J76" s="544">
        <f>IF(L78="","",L77+L78)</f>
        <v>0</v>
      </c>
      <c r="K76" s="537"/>
      <c r="L76" s="537"/>
      <c r="M76" s="9" t="str">
        <f>IF(L78="","",IF(J76=N76,"△",IF(J76&gt;N76,"○","●")))</f>
        <v>●</v>
      </c>
      <c r="N76" s="537">
        <f>IF(N78="","",N77+N78)</f>
        <v>5</v>
      </c>
      <c r="O76" s="537"/>
      <c r="P76" s="542"/>
      <c r="Q76" s="544">
        <f>IF(S78="","",S77+S78)</f>
        <v>0</v>
      </c>
      <c r="R76" s="537"/>
      <c r="S76" s="537"/>
      <c r="T76" s="9" t="str">
        <f>IF(S78="","",IF(Q76=U76,"△",IF(Q76&gt;U76,"○","●")))</f>
        <v>●</v>
      </c>
      <c r="U76" s="537">
        <f>IF(U78="","",U77+U78)</f>
        <v>9</v>
      </c>
      <c r="V76" s="537"/>
      <c r="W76" s="542"/>
      <c r="X76" s="544">
        <f>IF(Z78="","",Z77+Z78)</f>
        <v>1</v>
      </c>
      <c r="Y76" s="537"/>
      <c r="Z76" s="537"/>
      <c r="AA76" s="9" t="str">
        <f>IF(Z78="","",IF(X76=AB76,"△",IF(X76&gt;AB76,"○","●")))</f>
        <v>●</v>
      </c>
      <c r="AB76" s="537">
        <f>IF(AB78="","",AB77+AB78)</f>
        <v>3</v>
      </c>
      <c r="AC76" s="537"/>
      <c r="AD76" s="542"/>
      <c r="AE76" s="544">
        <f>IF(AG78="","",AG77+AG78)</f>
        <v>0</v>
      </c>
      <c r="AF76" s="537"/>
      <c r="AG76" s="537"/>
      <c r="AH76" s="9" t="str">
        <f>IF(AG78="","",IF(AE76=AI76,"△",IF(AE76&gt;AI76,"○","●")))</f>
        <v>●</v>
      </c>
      <c r="AI76" s="537">
        <f>IF(AI78="","",AI77+AI78)</f>
        <v>6</v>
      </c>
      <c r="AJ76" s="537"/>
      <c r="AK76" s="542"/>
      <c r="AL76" s="544">
        <f>IF(AN78="","",AN77+AN78)</f>
        <v>0</v>
      </c>
      <c r="AM76" s="537"/>
      <c r="AN76" s="537"/>
      <c r="AO76" s="9" t="str">
        <f>IF(AN78="","",IF(AL76=AP76,"△",IF(AL76&gt;AP76,"○","●")))</f>
        <v>●</v>
      </c>
      <c r="AP76" s="537">
        <f>IF(AP78="","",AP77+AP78)</f>
        <v>10</v>
      </c>
      <c r="AQ76" s="537"/>
      <c r="AR76" s="542"/>
      <c r="AS76" s="544">
        <f>IF(AU78="","",AU77+AU78)</f>
        <v>0</v>
      </c>
      <c r="AT76" s="537"/>
      <c r="AU76" s="537"/>
      <c r="AV76" s="9" t="str">
        <f>IF(AU78="","",IF(AS76=AW76,"△",IF(AS76&gt;AW76,"○","●")))</f>
        <v>●</v>
      </c>
      <c r="AW76" s="537">
        <f>IF(AW78="","",AW77+AW78)</f>
        <v>3</v>
      </c>
      <c r="AX76" s="537"/>
      <c r="AY76" s="542"/>
      <c r="AZ76" s="5"/>
      <c r="BA76" s="85"/>
      <c r="BB76" s="85"/>
      <c r="BC76" s="85"/>
      <c r="BD76" s="85"/>
      <c r="BE76" s="85"/>
      <c r="BF76" s="6"/>
      <c r="BG76" s="588">
        <f>IF(COUNT(C77:BF77)=0,"",COUNTIF(BC$6:BC$85,"●")*3+COUNTIF(BC$6:BC$85,"△"))</f>
        <v>1</v>
      </c>
      <c r="BH76" s="560">
        <f>IF(BG76="","",SUM(BD$6:BD$85)/2)</f>
        <v>4</v>
      </c>
      <c r="BI76" s="560">
        <f>IF(BG76="","",SUM(AZ$6:AZ$85))</f>
        <v>74</v>
      </c>
      <c r="BJ76" s="583">
        <f>IF(BG76="","",BH76-BI76)</f>
        <v>-70</v>
      </c>
      <c r="BK76" s="569">
        <f>IF(BG76="","",RANK(BL76,BL$6:BL$85))</f>
        <v>8</v>
      </c>
      <c r="BL76" s="47">
        <f>IF(BG76="",-ROW()*10000,BG76*10000+BJ76*100+BH76+COUNTIF(C76:BF76,"&gt;=0")/20)</f>
        <v>3004.7</v>
      </c>
      <c r="BM76" s="580">
        <f>RANK(BL76,BL$6:BL$85)</f>
        <v>8</v>
      </c>
      <c r="BN76" s="1">
        <v>71</v>
      </c>
      <c r="BO76" s="118">
        <f>IF(BG76="",-ROW()*10000,BG76*10000+BJ76*100+BH76+COUNTIF(C76:BF76,"&gt;=0")/20-ROW()/1000)</f>
        <v>3004.6239999999998</v>
      </c>
      <c r="BP76" s="577">
        <f>RANK(BO76,BO$6:BO$85)</f>
        <v>8</v>
      </c>
    </row>
    <row r="77" spans="1:68" ht="10.5" customHeight="1" x14ac:dyDescent="0.25">
      <c r="A77" s="528"/>
      <c r="B77" s="530"/>
      <c r="C77" s="3"/>
      <c r="D77" s="5"/>
      <c r="E77" s="15">
        <f>IF(BD7="","",BD7)</f>
        <v>0</v>
      </c>
      <c r="F77" s="3" t="s">
        <v>199</v>
      </c>
      <c r="G77" s="16">
        <f>IF(BB7="","",BB7)</f>
        <v>5</v>
      </c>
      <c r="H77" s="6"/>
      <c r="I77" s="3"/>
      <c r="J77" s="2"/>
      <c r="K77" s="5"/>
      <c r="L77" s="15">
        <f>IF(BD17="","",BD17)</f>
        <v>0</v>
      </c>
      <c r="M77" s="3" t="s">
        <v>199</v>
      </c>
      <c r="N77" s="16">
        <f>IF(BB17="","",BB17)</f>
        <v>3</v>
      </c>
      <c r="O77" s="6"/>
      <c r="P77" s="4"/>
      <c r="Q77" s="2"/>
      <c r="R77" s="5"/>
      <c r="S77" s="15">
        <f>IF(BD27="","",BD27)</f>
        <v>0</v>
      </c>
      <c r="T77" s="3" t="s">
        <v>199</v>
      </c>
      <c r="U77" s="16">
        <f>IF(BB27="","",BB27)</f>
        <v>3</v>
      </c>
      <c r="V77" s="6"/>
      <c r="W77" s="4"/>
      <c r="X77" s="2"/>
      <c r="Y77" s="5"/>
      <c r="Z77" s="15">
        <f>IF(BD37="","",BD37)</f>
        <v>0</v>
      </c>
      <c r="AA77" s="3" t="s">
        <v>199</v>
      </c>
      <c r="AB77" s="16">
        <f>IF(BB37="","",BB37)</f>
        <v>1</v>
      </c>
      <c r="AC77" s="6"/>
      <c r="AD77" s="4"/>
      <c r="AE77" s="2"/>
      <c r="AF77" s="5"/>
      <c r="AG77" s="15">
        <f>IF(BD47="","",BD47)</f>
        <v>0</v>
      </c>
      <c r="AH77" s="3" t="s">
        <v>199</v>
      </c>
      <c r="AI77" s="16">
        <f>IF(BB47="","",BB47)</f>
        <v>2</v>
      </c>
      <c r="AJ77" s="6"/>
      <c r="AK77" s="4"/>
      <c r="AL77" s="2"/>
      <c r="AM77" s="5"/>
      <c r="AN77" s="15">
        <f>IF(BD57="","",BD57)</f>
        <v>0</v>
      </c>
      <c r="AO77" s="3" t="s">
        <v>199</v>
      </c>
      <c r="AP77" s="16">
        <f>IF(BB57="","",BB57)</f>
        <v>3</v>
      </c>
      <c r="AQ77" s="6"/>
      <c r="AR77" s="4"/>
      <c r="AS77" s="2"/>
      <c r="AT77" s="5"/>
      <c r="AU77" s="15">
        <f>IF(BD67="","",BD67)</f>
        <v>0</v>
      </c>
      <c r="AV77" s="3" t="s">
        <v>199</v>
      </c>
      <c r="AW77" s="16">
        <f>IF(BB67="","",BB67)</f>
        <v>0</v>
      </c>
      <c r="AX77" s="6"/>
      <c r="AY77" s="4"/>
      <c r="AZ77" s="2"/>
      <c r="BA77" s="3"/>
      <c r="BB77" s="3"/>
      <c r="BC77" s="3"/>
      <c r="BD77" s="3"/>
      <c r="BE77" s="3"/>
      <c r="BF77" s="4"/>
      <c r="BG77" s="573"/>
      <c r="BH77" s="561"/>
      <c r="BI77" s="561"/>
      <c r="BJ77" s="575"/>
      <c r="BK77" s="570"/>
      <c r="BL77" s="47"/>
      <c r="BM77" s="581"/>
      <c r="BO77" s="117"/>
      <c r="BP77" s="578"/>
    </row>
    <row r="78" spans="1:68" ht="10.5" customHeight="1" x14ac:dyDescent="0.25">
      <c r="A78" s="528"/>
      <c r="B78" s="530"/>
      <c r="C78" s="3"/>
      <c r="D78" s="7"/>
      <c r="E78" s="15">
        <f>IF(BD8="","",BD8)</f>
        <v>1</v>
      </c>
      <c r="F78" s="3" t="s">
        <v>199</v>
      </c>
      <c r="G78" s="16">
        <f>IF(BB8="","",BB8)</f>
        <v>3</v>
      </c>
      <c r="H78" s="8"/>
      <c r="I78" s="3"/>
      <c r="J78" s="2"/>
      <c r="K78" s="7"/>
      <c r="L78" s="15">
        <f>IF(BD18="","",BD18)</f>
        <v>0</v>
      </c>
      <c r="M78" s="3" t="s">
        <v>199</v>
      </c>
      <c r="N78" s="16">
        <f>IF(BB18="","",BB18)</f>
        <v>2</v>
      </c>
      <c r="O78" s="8"/>
      <c r="P78" s="4"/>
      <c r="Q78" s="2"/>
      <c r="R78" s="7"/>
      <c r="S78" s="15">
        <f>IF(BD28="","",BD28)</f>
        <v>0</v>
      </c>
      <c r="T78" s="3" t="s">
        <v>199</v>
      </c>
      <c r="U78" s="16">
        <f>IF(BB28="","",BB28)</f>
        <v>6</v>
      </c>
      <c r="V78" s="8"/>
      <c r="W78" s="4"/>
      <c r="X78" s="2"/>
      <c r="Y78" s="7"/>
      <c r="Z78" s="15">
        <f>IF(BD38="","",BD38)</f>
        <v>1</v>
      </c>
      <c r="AA78" s="3" t="s">
        <v>199</v>
      </c>
      <c r="AB78" s="16">
        <f>IF(BB38="","",BB38)</f>
        <v>2</v>
      </c>
      <c r="AC78" s="8"/>
      <c r="AD78" s="4"/>
      <c r="AE78" s="2"/>
      <c r="AF78" s="7"/>
      <c r="AG78" s="15">
        <f>IF(BD48="","",BD48)</f>
        <v>0</v>
      </c>
      <c r="AH78" s="3" t="s">
        <v>199</v>
      </c>
      <c r="AI78" s="16">
        <f>IF(BB48="","",BB48)</f>
        <v>4</v>
      </c>
      <c r="AJ78" s="8"/>
      <c r="AK78" s="4"/>
      <c r="AL78" s="2"/>
      <c r="AM78" s="7"/>
      <c r="AN78" s="15">
        <f>IF(BD58="","",BD58)</f>
        <v>0</v>
      </c>
      <c r="AO78" s="3" t="s">
        <v>199</v>
      </c>
      <c r="AP78" s="16">
        <f>IF(BB58="","",BB58)</f>
        <v>7</v>
      </c>
      <c r="AQ78" s="8"/>
      <c r="AR78" s="4"/>
      <c r="AS78" s="2"/>
      <c r="AT78" s="7"/>
      <c r="AU78" s="15">
        <f>IF(BD68="","",BD68)</f>
        <v>0</v>
      </c>
      <c r="AV78" s="3" t="s">
        <v>199</v>
      </c>
      <c r="AW78" s="16">
        <f>IF(BB68="","",BB68)</f>
        <v>3</v>
      </c>
      <c r="AX78" s="8"/>
      <c r="AY78" s="4"/>
      <c r="AZ78" s="2"/>
      <c r="BA78" s="3"/>
      <c r="BB78" s="3"/>
      <c r="BC78" s="3"/>
      <c r="BD78" s="3"/>
      <c r="BE78" s="3"/>
      <c r="BF78" s="4"/>
      <c r="BG78" s="573"/>
      <c r="BH78" s="561"/>
      <c r="BI78" s="561"/>
      <c r="BJ78" s="575"/>
      <c r="BK78" s="570"/>
      <c r="BL78" s="47"/>
      <c r="BM78" s="581"/>
      <c r="BO78" s="117"/>
      <c r="BP78" s="578"/>
    </row>
    <row r="79" spans="1:68" ht="11.25" customHeight="1" x14ac:dyDescent="0.25">
      <c r="A79" s="528"/>
      <c r="B79" s="530"/>
      <c r="C79" s="51"/>
      <c r="D79" s="532" t="str">
        <f>IF(C80="","",BA9)</f>
        <v>①</v>
      </c>
      <c r="E79" s="532"/>
      <c r="F79" s="540">
        <f>IF(C80="","",BC9)</f>
        <v>42489</v>
      </c>
      <c r="G79" s="540"/>
      <c r="H79" s="540"/>
      <c r="I79" s="540"/>
      <c r="J79" s="51"/>
      <c r="K79" s="532" t="str">
        <f>IF(J80="","",BA19)</f>
        <v>④</v>
      </c>
      <c r="L79" s="532"/>
      <c r="M79" s="540">
        <f>IF(J80="","",BC19)</f>
        <v>42504</v>
      </c>
      <c r="N79" s="540"/>
      <c r="O79" s="540"/>
      <c r="P79" s="541"/>
      <c r="Q79" s="51"/>
      <c r="R79" s="532" t="str">
        <f>IF(Q80="","",BA29)</f>
        <v>⑦</v>
      </c>
      <c r="S79" s="532"/>
      <c r="T79" s="540">
        <f>IF(Q80="","",BC29)</f>
        <v>42560</v>
      </c>
      <c r="U79" s="540"/>
      <c r="V79" s="540"/>
      <c r="W79" s="541"/>
      <c r="X79" s="51"/>
      <c r="Y79" s="532" t="str">
        <f>IF(X80="","",BA39)</f>
        <v>⑤</v>
      </c>
      <c r="Z79" s="532"/>
      <c r="AA79" s="540">
        <f>IF(X80="","",BC39)</f>
        <v>42512</v>
      </c>
      <c r="AB79" s="540"/>
      <c r="AC79" s="540"/>
      <c r="AD79" s="541"/>
      <c r="AE79" s="51"/>
      <c r="AF79" s="532" t="str">
        <f>IF(AE80="","",BA49)</f>
        <v>⑦</v>
      </c>
      <c r="AG79" s="532"/>
      <c r="AH79" s="540">
        <f>IF(AE80="","",BC49)</f>
        <v>42553</v>
      </c>
      <c r="AI79" s="540"/>
      <c r="AJ79" s="540"/>
      <c r="AK79" s="541"/>
      <c r="AL79" s="51"/>
      <c r="AM79" s="532" t="str">
        <f>IF(AL80="","",BA59)</f>
        <v>②</v>
      </c>
      <c r="AN79" s="532"/>
      <c r="AO79" s="540">
        <f>IF(AL80="","",BC59)</f>
        <v>42491</v>
      </c>
      <c r="AP79" s="540"/>
      <c r="AQ79" s="540"/>
      <c r="AR79" s="541"/>
      <c r="AS79" s="51"/>
      <c r="AT79" s="532" t="str">
        <f>IF(AS80="","",BA69)</f>
        <v>③</v>
      </c>
      <c r="AU79" s="532"/>
      <c r="AV79" s="540">
        <f>IF(AS80="","",BC69)</f>
        <v>42498</v>
      </c>
      <c r="AW79" s="540"/>
      <c r="AX79" s="540"/>
      <c r="AY79" s="541"/>
      <c r="AZ79" s="2"/>
      <c r="BA79" s="3"/>
      <c r="BB79" s="3"/>
      <c r="BC79" s="3"/>
      <c r="BD79" s="3"/>
      <c r="BE79" s="3"/>
      <c r="BF79" s="4"/>
      <c r="BG79" s="573"/>
      <c r="BH79" s="561"/>
      <c r="BI79" s="561"/>
      <c r="BJ79" s="575"/>
      <c r="BK79" s="570"/>
      <c r="BL79" s="47"/>
      <c r="BM79" s="581"/>
      <c r="BO79" s="117"/>
      <c r="BP79" s="578"/>
    </row>
    <row r="80" spans="1:68" ht="11.25" customHeight="1" x14ac:dyDescent="0.25">
      <c r="A80" s="528"/>
      <c r="B80" s="530"/>
      <c r="C80" s="533" t="str">
        <f>IF(AZ10="","",AZ10)</f>
        <v>能登島Ｂ</v>
      </c>
      <c r="D80" s="534"/>
      <c r="E80" s="534"/>
      <c r="F80" s="534"/>
      <c r="G80" s="534"/>
      <c r="H80" s="534"/>
      <c r="I80" s="534"/>
      <c r="J80" s="543" t="str">
        <f>IF(AZ20="","",AZ20)</f>
        <v>金沢交流</v>
      </c>
      <c r="K80" s="534"/>
      <c r="L80" s="534"/>
      <c r="M80" s="534"/>
      <c r="N80" s="534"/>
      <c r="O80" s="534"/>
      <c r="P80" s="535"/>
      <c r="Q80" s="543" t="str">
        <f>IF(AZ30="","",AZ30)</f>
        <v>星稜ｻｯｶｰ場</v>
      </c>
      <c r="R80" s="534"/>
      <c r="S80" s="534"/>
      <c r="T80" s="534"/>
      <c r="U80" s="534"/>
      <c r="V80" s="534"/>
      <c r="W80" s="535"/>
      <c r="X80" s="543" t="str">
        <f>IF(AZ40="","",AZ40)</f>
        <v>加賀陸上</v>
      </c>
      <c r="Y80" s="534"/>
      <c r="Z80" s="534"/>
      <c r="AA80" s="534"/>
      <c r="AB80" s="534"/>
      <c r="AC80" s="534"/>
      <c r="AD80" s="535"/>
      <c r="AE80" s="543" t="str">
        <f>IF(AZ50="","",AZ50)</f>
        <v>金沢市民</v>
      </c>
      <c r="AF80" s="534"/>
      <c r="AG80" s="534"/>
      <c r="AH80" s="534"/>
      <c r="AI80" s="534"/>
      <c r="AJ80" s="534"/>
      <c r="AK80" s="535"/>
      <c r="AL80" s="543" t="str">
        <f>IF(AZ60="","",AZ60)</f>
        <v>能登島Ｂ</v>
      </c>
      <c r="AM80" s="534"/>
      <c r="AN80" s="534"/>
      <c r="AO80" s="534"/>
      <c r="AP80" s="534"/>
      <c r="AQ80" s="534"/>
      <c r="AR80" s="535"/>
      <c r="AS80" s="543" t="str">
        <f>IF(AZ70="","",AZ70)</f>
        <v>金沢交流</v>
      </c>
      <c r="AT80" s="534"/>
      <c r="AU80" s="534"/>
      <c r="AV80" s="534"/>
      <c r="AW80" s="534"/>
      <c r="AX80" s="534"/>
      <c r="AY80" s="535"/>
      <c r="AZ80" s="2"/>
      <c r="BA80" s="3"/>
      <c r="BB80" s="3"/>
      <c r="BC80" s="3"/>
      <c r="BD80" s="3"/>
      <c r="BE80" s="3"/>
      <c r="BF80" s="356"/>
      <c r="BG80" s="573"/>
      <c r="BH80" s="561"/>
      <c r="BI80" s="561"/>
      <c r="BJ80" s="575"/>
      <c r="BK80" s="570"/>
      <c r="BL80" s="47"/>
      <c r="BM80" s="581"/>
      <c r="BO80" s="117"/>
      <c r="BP80" s="578"/>
    </row>
    <row r="81" spans="1:68" ht="11.25" customHeight="1" x14ac:dyDescent="0.25">
      <c r="A81" s="528"/>
      <c r="B81" s="530"/>
      <c r="C81" s="548" t="str">
        <f>IF(E83="","",E82+E83)</f>
        <v/>
      </c>
      <c r="D81" s="532"/>
      <c r="E81" s="532"/>
      <c r="F81" s="1" t="str">
        <f>IF(E83="","",IF(C81=G81,"△",IF(C81&gt;G81,"○","●")))</f>
        <v/>
      </c>
      <c r="G81" s="532" t="str">
        <f>IF(G83="","",G82+G83)</f>
        <v/>
      </c>
      <c r="H81" s="532"/>
      <c r="I81" s="532"/>
      <c r="J81" s="548">
        <f>IF(L83="","",L82+L83)</f>
        <v>0</v>
      </c>
      <c r="K81" s="532"/>
      <c r="L81" s="532"/>
      <c r="M81" s="1" t="str">
        <f>IF(L83="","",IF(J81=N81,"△",IF(J81&gt;N81,"○","●")))</f>
        <v>●</v>
      </c>
      <c r="N81" s="532">
        <f>IF(N83="","",N82+N83)</f>
        <v>5</v>
      </c>
      <c r="O81" s="532"/>
      <c r="P81" s="539"/>
      <c r="Q81" s="548">
        <f>IF(S83="","",S82+S83)</f>
        <v>1</v>
      </c>
      <c r="R81" s="532"/>
      <c r="S81" s="532"/>
      <c r="T81" s="1" t="str">
        <f>IF(S83="","",IF(Q81=U81,"△",IF(Q81&gt;U81,"○","●")))</f>
        <v>●</v>
      </c>
      <c r="U81" s="532">
        <f>IF(U83="","",U82+U83)</f>
        <v>8</v>
      </c>
      <c r="V81" s="532"/>
      <c r="W81" s="539"/>
      <c r="X81" s="548">
        <f>IF(Z83="","",Z82+Z83)</f>
        <v>1</v>
      </c>
      <c r="Y81" s="532"/>
      <c r="Z81" s="532"/>
      <c r="AA81" s="1" t="str">
        <f>IF(Z83="","",IF(X81=AB81,"△",IF(X81&gt;AB81,"○","●")))</f>
        <v>△</v>
      </c>
      <c r="AB81" s="532">
        <f>IF(AB83="","",AB82+AB83)</f>
        <v>1</v>
      </c>
      <c r="AC81" s="532"/>
      <c r="AD81" s="539"/>
      <c r="AE81" s="548" t="str">
        <f>IF(AG83="","",AG82+AG83)</f>
        <v/>
      </c>
      <c r="AF81" s="532"/>
      <c r="AG81" s="532"/>
      <c r="AH81" s="1" t="str">
        <f>IF(AG83="","",IF(AE81=AI81,"△",IF(AE81&gt;AI81,"○","●")))</f>
        <v/>
      </c>
      <c r="AI81" s="532" t="str">
        <f>IF(AI83="","",AI82+AI83)</f>
        <v/>
      </c>
      <c r="AJ81" s="532"/>
      <c r="AK81" s="539"/>
      <c r="AL81" s="548">
        <f>IF(AN83="","",AN82+AN83)</f>
        <v>0</v>
      </c>
      <c r="AM81" s="532"/>
      <c r="AN81" s="532"/>
      <c r="AO81" s="1" t="str">
        <f>IF(AN83="","",IF(AL81=AP81,"△",IF(AL81&gt;AP81,"○","●")))</f>
        <v>●</v>
      </c>
      <c r="AP81" s="532">
        <f>IF(AP83="","",AP82+AP83)</f>
        <v>16</v>
      </c>
      <c r="AQ81" s="532"/>
      <c r="AR81" s="539"/>
      <c r="AS81" s="548" t="str">
        <f>IF(AU83="","",AU82+AU83)</f>
        <v/>
      </c>
      <c r="AT81" s="532"/>
      <c r="AU81" s="532"/>
      <c r="AV81" s="1" t="str">
        <f>IF(AU83="","",IF(AS81=AW81,"△",IF(AS81&gt;AW81,"○","●")))</f>
        <v/>
      </c>
      <c r="AW81" s="532" t="str">
        <f>IF(AW83="","",AW82+AW83)</f>
        <v/>
      </c>
      <c r="AX81" s="532"/>
      <c r="AY81" s="539"/>
      <c r="AZ81" s="2"/>
      <c r="BA81" s="3"/>
      <c r="BB81" s="3"/>
      <c r="BC81" s="3"/>
      <c r="BD81" s="3"/>
      <c r="BE81" s="3"/>
      <c r="BF81" s="4"/>
      <c r="BG81" s="573"/>
      <c r="BH81" s="561"/>
      <c r="BI81" s="561"/>
      <c r="BJ81" s="575"/>
      <c r="BK81" s="570"/>
      <c r="BL81" s="47"/>
      <c r="BM81" s="581"/>
      <c r="BO81" s="117"/>
      <c r="BP81" s="578"/>
    </row>
    <row r="82" spans="1:68" ht="11.25" customHeight="1" x14ac:dyDescent="0.25">
      <c r="A82" s="528"/>
      <c r="B82" s="530"/>
      <c r="C82" s="3"/>
      <c r="D82" s="5"/>
      <c r="E82" s="15" t="str">
        <f>IF(BD12="","",BD12)</f>
        <v/>
      </c>
      <c r="F82" s="3" t="s">
        <v>199</v>
      </c>
      <c r="G82" s="16" t="str">
        <f>IF(BB12="","",BB12)</f>
        <v/>
      </c>
      <c r="H82" s="6"/>
      <c r="I82" s="3"/>
      <c r="J82" s="2"/>
      <c r="K82" s="5"/>
      <c r="L82" s="15">
        <f>IF(BD22="","",BD22)</f>
        <v>0</v>
      </c>
      <c r="M82" s="3" t="s">
        <v>199</v>
      </c>
      <c r="N82" s="16">
        <f>IF(BB22="","",BB22)</f>
        <v>2</v>
      </c>
      <c r="O82" s="6"/>
      <c r="P82" s="4"/>
      <c r="Q82" s="2"/>
      <c r="R82" s="5"/>
      <c r="S82" s="15">
        <f>IF(BD32="","",BD32)</f>
        <v>1</v>
      </c>
      <c r="T82" s="3" t="s">
        <v>199</v>
      </c>
      <c r="U82" s="16">
        <f>IF(BB32="","",BB32)</f>
        <v>5</v>
      </c>
      <c r="V82" s="6"/>
      <c r="W82" s="4"/>
      <c r="X82" s="2"/>
      <c r="Y82" s="5"/>
      <c r="Z82" s="15">
        <f>IF(BD42="","",BD42)</f>
        <v>0</v>
      </c>
      <c r="AA82" s="3" t="s">
        <v>199</v>
      </c>
      <c r="AB82" s="16">
        <f>IF(BB42="","",BB42)</f>
        <v>0</v>
      </c>
      <c r="AC82" s="6"/>
      <c r="AD82" s="4"/>
      <c r="AE82" s="2"/>
      <c r="AF82" s="5"/>
      <c r="AG82" s="15" t="str">
        <f>IF(BD52="","",BD52)</f>
        <v/>
      </c>
      <c r="AH82" s="3" t="s">
        <v>199</v>
      </c>
      <c r="AI82" s="16" t="str">
        <f>IF(BB52="","",BB52)</f>
        <v/>
      </c>
      <c r="AJ82" s="6"/>
      <c r="AK82" s="4"/>
      <c r="AL82" s="2"/>
      <c r="AM82" s="5"/>
      <c r="AN82" s="15">
        <f>IF(BD62="","",BD62)</f>
        <v>0</v>
      </c>
      <c r="AO82" s="3" t="s">
        <v>199</v>
      </c>
      <c r="AP82" s="16">
        <f>IF(BB62="","",BB62)</f>
        <v>4</v>
      </c>
      <c r="AQ82" s="6"/>
      <c r="AR82" s="4"/>
      <c r="AS82" s="2"/>
      <c r="AT82" s="5"/>
      <c r="AU82" s="15" t="str">
        <f>IF(BD72="","",BD72)</f>
        <v/>
      </c>
      <c r="AV82" s="3" t="s">
        <v>199</v>
      </c>
      <c r="AW82" s="16" t="str">
        <f>IF(BB72="","",BB72)</f>
        <v/>
      </c>
      <c r="AX82" s="6"/>
      <c r="AY82" s="4"/>
      <c r="AZ82" s="2"/>
      <c r="BA82" s="3"/>
      <c r="BB82" s="3"/>
      <c r="BC82" s="3"/>
      <c r="BD82" s="3"/>
      <c r="BE82" s="3"/>
      <c r="BF82" s="3"/>
      <c r="BG82" s="573"/>
      <c r="BH82" s="561"/>
      <c r="BI82" s="561"/>
      <c r="BJ82" s="575"/>
      <c r="BK82" s="570"/>
      <c r="BL82" s="47"/>
      <c r="BM82" s="581"/>
      <c r="BO82" s="117"/>
      <c r="BP82" s="578"/>
    </row>
    <row r="83" spans="1:68" ht="11.25" customHeight="1" x14ac:dyDescent="0.25">
      <c r="A83" s="528"/>
      <c r="B83" s="530"/>
      <c r="C83" s="3"/>
      <c r="D83" s="7"/>
      <c r="E83" s="15" t="str">
        <f>IF(BD13="","",BD13)</f>
        <v/>
      </c>
      <c r="F83" s="3" t="s">
        <v>199</v>
      </c>
      <c r="G83" s="16" t="str">
        <f>IF(BB13="","",BB13)</f>
        <v/>
      </c>
      <c r="H83" s="8"/>
      <c r="I83" s="3"/>
      <c r="J83" s="2"/>
      <c r="K83" s="7"/>
      <c r="L83" s="15">
        <f>IF(BD23="","",BD23)</f>
        <v>0</v>
      </c>
      <c r="M83" s="3" t="s">
        <v>199</v>
      </c>
      <c r="N83" s="16">
        <f>IF(BB23="","",BB23)</f>
        <v>3</v>
      </c>
      <c r="O83" s="8"/>
      <c r="P83" s="4"/>
      <c r="Q83" s="2"/>
      <c r="R83" s="7"/>
      <c r="S83" s="15">
        <f>IF(BD33="","",BD33)</f>
        <v>0</v>
      </c>
      <c r="T83" s="3" t="s">
        <v>199</v>
      </c>
      <c r="U83" s="16">
        <f>IF(BB33="","",BB33)</f>
        <v>3</v>
      </c>
      <c r="V83" s="8"/>
      <c r="W83" s="4"/>
      <c r="X83" s="2"/>
      <c r="Y83" s="7"/>
      <c r="Z83" s="15">
        <f>IF(BD43="","",BD43)</f>
        <v>1</v>
      </c>
      <c r="AA83" s="3" t="s">
        <v>199</v>
      </c>
      <c r="AB83" s="16">
        <f>IF(BB43="","",BB43)</f>
        <v>1</v>
      </c>
      <c r="AC83" s="8"/>
      <c r="AD83" s="4"/>
      <c r="AE83" s="2"/>
      <c r="AF83" s="7"/>
      <c r="AG83" s="15" t="str">
        <f>IF(BD53="","",BD53)</f>
        <v/>
      </c>
      <c r="AH83" s="3" t="s">
        <v>199</v>
      </c>
      <c r="AI83" s="16" t="str">
        <f>IF(BB53="","",BB53)</f>
        <v/>
      </c>
      <c r="AJ83" s="8"/>
      <c r="AK83" s="4"/>
      <c r="AL83" s="2"/>
      <c r="AM83" s="7"/>
      <c r="AN83" s="15">
        <f>IF(BD63="","",BD63)</f>
        <v>0</v>
      </c>
      <c r="AO83" s="3" t="s">
        <v>199</v>
      </c>
      <c r="AP83" s="16">
        <f>IF(BB63="","",BB63)</f>
        <v>12</v>
      </c>
      <c r="AQ83" s="8"/>
      <c r="AR83" s="4"/>
      <c r="AS83" s="2"/>
      <c r="AT83" s="7"/>
      <c r="AU83" s="15" t="str">
        <f>IF(BD73="","",BD73)</f>
        <v/>
      </c>
      <c r="AV83" s="3" t="s">
        <v>199</v>
      </c>
      <c r="AW83" s="16" t="str">
        <f>IF(BB73="","",BB73)</f>
        <v/>
      </c>
      <c r="AX83" s="8"/>
      <c r="AY83" s="4"/>
      <c r="AZ83" s="2"/>
      <c r="BA83" s="3"/>
      <c r="BB83" s="3"/>
      <c r="BC83" s="3"/>
      <c r="BD83" s="3"/>
      <c r="BE83" s="3"/>
      <c r="BF83" s="3"/>
      <c r="BG83" s="573"/>
      <c r="BH83" s="561"/>
      <c r="BI83" s="561"/>
      <c r="BJ83" s="575"/>
      <c r="BK83" s="570"/>
      <c r="BL83" s="47"/>
      <c r="BM83" s="581"/>
      <c r="BO83" s="117"/>
      <c r="BP83" s="578"/>
    </row>
    <row r="84" spans="1:68" ht="11.25" customHeight="1" x14ac:dyDescent="0.25">
      <c r="A84" s="528"/>
      <c r="B84" s="530"/>
      <c r="C84" s="51"/>
      <c r="D84" s="532" t="str">
        <f>IF(C85="","",BA14)</f>
        <v>②</v>
      </c>
      <c r="E84" s="532"/>
      <c r="F84" s="540">
        <f>IF(C85="","",BC14)</f>
        <v>42658</v>
      </c>
      <c r="G84" s="540"/>
      <c r="H84" s="540"/>
      <c r="I84" s="540"/>
      <c r="J84" s="51"/>
      <c r="K84" s="532" t="str">
        <f>IF(J85="","",BA24)</f>
        <v>⑧</v>
      </c>
      <c r="L84" s="532"/>
      <c r="M84" s="540">
        <f>IF(J85="","",BC24)</f>
        <v>42574</v>
      </c>
      <c r="N84" s="540"/>
      <c r="O84" s="540"/>
      <c r="P84" s="541"/>
      <c r="Q84" s="51"/>
      <c r="R84" s="532" t="str">
        <f>IF(Q85="","",BA34)</f>
        <v>②</v>
      </c>
      <c r="S84" s="532"/>
      <c r="T84" s="540">
        <f>IF(Q85="","",BC34)</f>
        <v>42617</v>
      </c>
      <c r="U84" s="540"/>
      <c r="V84" s="540"/>
      <c r="W84" s="541"/>
      <c r="X84" s="51"/>
      <c r="Y84" s="532" t="str">
        <f>IF(X85="","",BA44)</f>
        <v>⑨</v>
      </c>
      <c r="Z84" s="532"/>
      <c r="AA84" s="540">
        <f>IF(X85="","",BC44)</f>
        <v>42588</v>
      </c>
      <c r="AB84" s="540"/>
      <c r="AC84" s="540"/>
      <c r="AD84" s="541"/>
      <c r="AE84" s="51"/>
      <c r="AF84" s="532" t="str">
        <f>IF(AE85="","",BA54)</f>
        <v>②</v>
      </c>
      <c r="AG84" s="532"/>
      <c r="AH84" s="540">
        <f>IF(AE85="","",BC54)</f>
        <v>42677</v>
      </c>
      <c r="AI84" s="540"/>
      <c r="AJ84" s="540"/>
      <c r="AK84" s="541"/>
      <c r="AL84" s="51"/>
      <c r="AM84" s="532" t="str">
        <f>IF(AL85="","",BA64)</f>
        <v>②</v>
      </c>
      <c r="AN84" s="532"/>
      <c r="AO84" s="540">
        <f>IF(AL85="","",BC64)</f>
        <v>42645</v>
      </c>
      <c r="AP84" s="540"/>
      <c r="AQ84" s="540"/>
      <c r="AR84" s="541"/>
      <c r="AS84" s="51"/>
      <c r="AT84" s="532" t="str">
        <f>IF(AS85="","",BA74)</f>
        <v>②</v>
      </c>
      <c r="AU84" s="532"/>
      <c r="AV84" s="540">
        <f>IF(AS85="","",BC74)</f>
        <v>42665</v>
      </c>
      <c r="AW84" s="540"/>
      <c r="AX84" s="540"/>
      <c r="AY84" s="541"/>
      <c r="AZ84" s="2"/>
      <c r="BA84" s="3"/>
      <c r="BB84" s="3"/>
      <c r="BC84" s="3"/>
      <c r="BD84" s="3"/>
      <c r="BE84" s="3"/>
      <c r="BF84" s="3"/>
      <c r="BG84" s="573"/>
      <c r="BH84" s="561"/>
      <c r="BI84" s="561"/>
      <c r="BJ84" s="575"/>
      <c r="BK84" s="570"/>
      <c r="BL84" s="47"/>
      <c r="BM84" s="581"/>
      <c r="BO84" s="117"/>
      <c r="BP84" s="578"/>
    </row>
    <row r="85" spans="1:68" ht="12" customHeight="1" thickBot="1" x14ac:dyDescent="0.3">
      <c r="A85" s="528"/>
      <c r="B85" s="545"/>
      <c r="C85" s="557" t="str">
        <f>IF(AZ15="","",AZ15)</f>
        <v>金沢市民</v>
      </c>
      <c r="D85" s="558"/>
      <c r="E85" s="558"/>
      <c r="F85" s="558"/>
      <c r="G85" s="558"/>
      <c r="H85" s="558"/>
      <c r="I85" s="558"/>
      <c r="J85" s="563" t="str">
        <f>IF(AZ25="","",AZ25)</f>
        <v>北陸大FPB</v>
      </c>
      <c r="K85" s="558"/>
      <c r="L85" s="558"/>
      <c r="M85" s="558"/>
      <c r="N85" s="558"/>
      <c r="O85" s="558"/>
      <c r="P85" s="564"/>
      <c r="Q85" s="563" t="str">
        <f>IF(AZ35="","",AZ35)</f>
        <v>小松市民</v>
      </c>
      <c r="R85" s="558"/>
      <c r="S85" s="558"/>
      <c r="T85" s="558"/>
      <c r="U85" s="558"/>
      <c r="V85" s="558"/>
      <c r="W85" s="564"/>
      <c r="X85" s="563" t="str">
        <f>IF(AZ45="","",AZ45)</f>
        <v>金沢交流</v>
      </c>
      <c r="Y85" s="558"/>
      <c r="Z85" s="558"/>
      <c r="AA85" s="558"/>
      <c r="AB85" s="558"/>
      <c r="AC85" s="558"/>
      <c r="AD85" s="564"/>
      <c r="AE85" s="563" t="str">
        <f>IF(AZ55="","",AZ55)</f>
        <v>星稜ｻｯｶｰ場</v>
      </c>
      <c r="AF85" s="558"/>
      <c r="AG85" s="558"/>
      <c r="AH85" s="558"/>
      <c r="AI85" s="558"/>
      <c r="AJ85" s="558"/>
      <c r="AK85" s="564"/>
      <c r="AL85" s="563" t="str">
        <f>IF(AZ65="","",AZ65)</f>
        <v>かほく市S</v>
      </c>
      <c r="AM85" s="558"/>
      <c r="AN85" s="558"/>
      <c r="AO85" s="558"/>
      <c r="AP85" s="558"/>
      <c r="AQ85" s="558"/>
      <c r="AR85" s="564"/>
      <c r="AS85" s="563" t="str">
        <f>IF(AZ75="","",AZ75)</f>
        <v>金沢交流</v>
      </c>
      <c r="AT85" s="558"/>
      <c r="AU85" s="558"/>
      <c r="AV85" s="558"/>
      <c r="AW85" s="558"/>
      <c r="AX85" s="558"/>
      <c r="AY85" s="564"/>
      <c r="AZ85" s="86"/>
      <c r="BA85" s="87"/>
      <c r="BB85" s="87"/>
      <c r="BC85" s="87"/>
      <c r="BD85" s="87"/>
      <c r="BE85" s="87"/>
      <c r="BF85" s="87"/>
      <c r="BG85" s="591"/>
      <c r="BH85" s="590"/>
      <c r="BI85" s="590"/>
      <c r="BJ85" s="587"/>
      <c r="BK85" s="585"/>
      <c r="BL85" s="47"/>
      <c r="BM85" s="582"/>
      <c r="BO85" s="119"/>
      <c r="BP85" s="586"/>
    </row>
    <row r="86" spans="1:68" ht="15" customHeight="1" x14ac:dyDescent="0.25">
      <c r="B86" s="52"/>
      <c r="C86" s="559"/>
      <c r="D86" s="559"/>
      <c r="E86" s="559"/>
      <c r="F86" s="53"/>
      <c r="G86" s="559"/>
      <c r="H86" s="559"/>
      <c r="I86" s="559"/>
      <c r="J86" s="559"/>
      <c r="K86" s="559"/>
      <c r="L86" s="559"/>
      <c r="M86" s="53"/>
      <c r="N86" s="559"/>
      <c r="O86" s="559"/>
      <c r="P86" s="559"/>
      <c r="Q86" s="559"/>
      <c r="R86" s="559"/>
      <c r="S86" s="559"/>
      <c r="T86" s="53"/>
      <c r="U86" s="559"/>
      <c r="V86" s="559"/>
      <c r="W86" s="559"/>
      <c r="X86" s="559"/>
      <c r="Y86" s="559"/>
      <c r="Z86" s="559"/>
      <c r="AA86" s="53"/>
      <c r="AB86" s="559"/>
      <c r="AC86" s="559"/>
      <c r="AD86" s="559"/>
      <c r="AE86" s="559"/>
      <c r="AF86" s="559"/>
      <c r="AG86" s="559"/>
      <c r="AH86" s="53"/>
      <c r="AI86" s="559"/>
      <c r="AJ86" s="559"/>
      <c r="AK86" s="559"/>
      <c r="AL86" s="559"/>
      <c r="AM86" s="559"/>
      <c r="AN86" s="559"/>
      <c r="AO86" s="53"/>
      <c r="AP86" s="559"/>
      <c r="AQ86" s="559"/>
      <c r="AR86" s="559"/>
      <c r="AS86" s="559"/>
      <c r="AT86" s="559"/>
      <c r="AU86" s="559"/>
      <c r="AV86" s="53"/>
      <c r="AW86" s="559"/>
      <c r="AX86" s="559"/>
      <c r="AY86" s="559"/>
      <c r="AZ86" s="559"/>
      <c r="BA86" s="559"/>
      <c r="BB86" s="559"/>
      <c r="BC86" s="53"/>
      <c r="BD86" s="559"/>
      <c r="BE86" s="559"/>
      <c r="BF86" s="559"/>
      <c r="BG86" s="52"/>
      <c r="BH86" s="52">
        <f>SUM(BH6:BH85)</f>
        <v>199</v>
      </c>
      <c r="BI86" s="52">
        <f>SUM(BI6:BI85)</f>
        <v>199</v>
      </c>
      <c r="BJ86" s="52">
        <f>SUM(BJ6:BJ85)</f>
        <v>0</v>
      </c>
      <c r="BK86" s="52"/>
    </row>
    <row r="87" spans="1:68" ht="15" customHeight="1" x14ac:dyDescent="0.25">
      <c r="B87" s="1" t="s">
        <v>212</v>
      </c>
      <c r="C87" s="549">
        <v>1</v>
      </c>
      <c r="D87" s="549"/>
      <c r="E87" s="549"/>
      <c r="F87" s="549"/>
      <c r="G87" s="549"/>
      <c r="H87" s="549"/>
      <c r="I87" s="549"/>
      <c r="J87" s="549">
        <v>8</v>
      </c>
      <c r="K87" s="549"/>
      <c r="L87" s="549"/>
      <c r="M87" s="549"/>
      <c r="N87" s="549"/>
      <c r="O87" s="549"/>
      <c r="P87" s="549"/>
      <c r="Q87" s="549">
        <v>15</v>
      </c>
      <c r="R87" s="549"/>
      <c r="S87" s="549"/>
      <c r="T87" s="549"/>
      <c r="U87" s="549"/>
      <c r="V87" s="549"/>
      <c r="W87" s="549"/>
      <c r="X87" s="549">
        <v>22</v>
      </c>
      <c r="Y87" s="549"/>
      <c r="Z87" s="549"/>
      <c r="AA87" s="549"/>
      <c r="AB87" s="549"/>
      <c r="AC87" s="549"/>
      <c r="AD87" s="549"/>
      <c r="AE87" s="549">
        <v>29</v>
      </c>
      <c r="AF87" s="549"/>
      <c r="AG87" s="549"/>
      <c r="AH87" s="549"/>
      <c r="AI87" s="549"/>
      <c r="AJ87" s="549"/>
      <c r="AK87" s="549"/>
      <c r="AL87" s="549">
        <v>36</v>
      </c>
      <c r="AM87" s="549"/>
      <c r="AN87" s="549"/>
      <c r="AO87" s="549"/>
      <c r="AP87" s="549"/>
      <c r="AQ87" s="549"/>
      <c r="AR87" s="549"/>
      <c r="AS87" s="549">
        <v>43</v>
      </c>
      <c r="AT87" s="549"/>
      <c r="AU87" s="549"/>
      <c r="AV87" s="549"/>
      <c r="AW87" s="549"/>
      <c r="AX87" s="549"/>
      <c r="AY87" s="549"/>
      <c r="AZ87" s="549">
        <v>50</v>
      </c>
      <c r="BA87" s="549"/>
      <c r="BB87" s="549"/>
      <c r="BC87" s="549"/>
      <c r="BD87" s="549"/>
      <c r="BE87" s="549"/>
      <c r="BF87" s="549"/>
    </row>
  </sheetData>
  <mergeCells count="676">
    <mergeCell ref="AZ75:BF75"/>
    <mergeCell ref="BC64:BF64"/>
    <mergeCell ref="AZ65:BF65"/>
    <mergeCell ref="BH66:BH75"/>
    <mergeCell ref="BD71:BF71"/>
    <mergeCell ref="BO5:BP5"/>
    <mergeCell ref="BP6:BP15"/>
    <mergeCell ref="BP16:BP25"/>
    <mergeCell ref="BK6:BK15"/>
    <mergeCell ref="BL5:BM5"/>
    <mergeCell ref="BK56:BK65"/>
    <mergeCell ref="BK36:BK45"/>
    <mergeCell ref="BJ36:BJ45"/>
    <mergeCell ref="BG16:BG25"/>
    <mergeCell ref="BJ16:BJ25"/>
    <mergeCell ref="BH56:BH65"/>
    <mergeCell ref="BJ26:BJ35"/>
    <mergeCell ref="BI36:BI45"/>
    <mergeCell ref="BH36:BH45"/>
    <mergeCell ref="BJ56:BJ65"/>
    <mergeCell ref="BP26:BP35"/>
    <mergeCell ref="BP36:BP45"/>
    <mergeCell ref="BM26:BM35"/>
    <mergeCell ref="BM36:BM45"/>
    <mergeCell ref="BM46:BM55"/>
    <mergeCell ref="BI46:BI55"/>
    <mergeCell ref="BK26:BK35"/>
    <mergeCell ref="BG26:BG35"/>
    <mergeCell ref="BP56:BP65"/>
    <mergeCell ref="BM6:BM15"/>
    <mergeCell ref="BM16:BM25"/>
    <mergeCell ref="AZ55:BF55"/>
    <mergeCell ref="AZ51:BB51"/>
    <mergeCell ref="AZ45:BF45"/>
    <mergeCell ref="BP46:BP55"/>
    <mergeCell ref="BI56:BI65"/>
    <mergeCell ref="BM56:BM65"/>
    <mergeCell ref="BJ46:BJ55"/>
    <mergeCell ref="BK46:BK55"/>
    <mergeCell ref="BG56:BG65"/>
    <mergeCell ref="BG46:BG55"/>
    <mergeCell ref="BH46:BH55"/>
    <mergeCell ref="BP66:BP75"/>
    <mergeCell ref="BM66:BM75"/>
    <mergeCell ref="BM76:BM85"/>
    <mergeCell ref="BJ66:BJ75"/>
    <mergeCell ref="BK76:BK85"/>
    <mergeCell ref="BK66:BK75"/>
    <mergeCell ref="BP76:BP85"/>
    <mergeCell ref="BJ76:BJ85"/>
    <mergeCell ref="AZ16:BB16"/>
    <mergeCell ref="BA54:BB54"/>
    <mergeCell ref="BC49:BF49"/>
    <mergeCell ref="BG36:BG45"/>
    <mergeCell ref="AZ66:BB66"/>
    <mergeCell ref="BD61:BF61"/>
    <mergeCell ref="AZ46:BB46"/>
    <mergeCell ref="BD36:BF36"/>
    <mergeCell ref="BC39:BF39"/>
    <mergeCell ref="BA39:BB39"/>
    <mergeCell ref="BC44:BF44"/>
    <mergeCell ref="BH76:BH85"/>
    <mergeCell ref="BI76:BI85"/>
    <mergeCell ref="BG76:BG85"/>
    <mergeCell ref="BG66:BG75"/>
    <mergeCell ref="BI66:BI75"/>
    <mergeCell ref="BA74:BB74"/>
    <mergeCell ref="BC74:BF74"/>
    <mergeCell ref="AZ5:BF5"/>
    <mergeCell ref="BC9:BF9"/>
    <mergeCell ref="BA9:BB9"/>
    <mergeCell ref="BD6:BF6"/>
    <mergeCell ref="AZ6:BB6"/>
    <mergeCell ref="BH6:BH15"/>
    <mergeCell ref="BD16:BF16"/>
    <mergeCell ref="BA59:BB59"/>
    <mergeCell ref="AZ56:BB56"/>
    <mergeCell ref="BD51:BF51"/>
    <mergeCell ref="BC59:BF59"/>
    <mergeCell ref="BD26:BF26"/>
    <mergeCell ref="BC29:BF29"/>
    <mergeCell ref="AZ25:BF25"/>
    <mergeCell ref="BA49:BB49"/>
    <mergeCell ref="AZ21:BB21"/>
    <mergeCell ref="BC24:BF24"/>
    <mergeCell ref="BD21:BF21"/>
    <mergeCell ref="BD46:BF46"/>
    <mergeCell ref="AZ50:BF50"/>
    <mergeCell ref="BC54:BF54"/>
    <mergeCell ref="AZ60:BF60"/>
    <mergeCell ref="AS46:AU46"/>
    <mergeCell ref="AW46:AY46"/>
    <mergeCell ref="AS50:AY50"/>
    <mergeCell ref="AS15:AY15"/>
    <mergeCell ref="AS16:AU16"/>
    <mergeCell ref="AV19:AY19"/>
    <mergeCell ref="AW16:AY16"/>
    <mergeCell ref="BH4:BK4"/>
    <mergeCell ref="BK16:BK25"/>
    <mergeCell ref="BG6:BG15"/>
    <mergeCell ref="BJ6:BJ15"/>
    <mergeCell ref="BH16:BH25"/>
    <mergeCell ref="BI16:BI25"/>
    <mergeCell ref="BI6:BI15"/>
    <mergeCell ref="BA14:BB14"/>
    <mergeCell ref="AZ10:BF10"/>
    <mergeCell ref="AZ11:BB11"/>
    <mergeCell ref="BA24:BB24"/>
    <mergeCell ref="BC14:BF14"/>
    <mergeCell ref="BD11:BF11"/>
    <mergeCell ref="AZ15:BF15"/>
    <mergeCell ref="BA34:BB34"/>
    <mergeCell ref="BC34:BF34"/>
    <mergeCell ref="BA19:BB19"/>
    <mergeCell ref="AZ20:BF20"/>
    <mergeCell ref="BC19:BF19"/>
    <mergeCell ref="Q86:S86"/>
    <mergeCell ref="AZ26:BB26"/>
    <mergeCell ref="AZ30:BF30"/>
    <mergeCell ref="AZ35:BF35"/>
    <mergeCell ref="BD31:BF31"/>
    <mergeCell ref="AZ31:BB31"/>
    <mergeCell ref="BD56:BF56"/>
    <mergeCell ref="AZ61:BB61"/>
    <mergeCell ref="BA64:BB64"/>
    <mergeCell ref="AP71:AR71"/>
    <mergeCell ref="AP66:AR66"/>
    <mergeCell ref="BD66:BF66"/>
    <mergeCell ref="AZ70:BF70"/>
    <mergeCell ref="AZ71:BB71"/>
    <mergeCell ref="BA69:BB69"/>
    <mergeCell ref="BC69:BF69"/>
    <mergeCell ref="X65:AD65"/>
    <mergeCell ref="AH64:AK64"/>
    <mergeCell ref="X66:Z66"/>
    <mergeCell ref="AA64:AD64"/>
    <mergeCell ref="AM69:AN69"/>
    <mergeCell ref="AS56:AU56"/>
    <mergeCell ref="AT49:AU49"/>
    <mergeCell ref="AS35:AY35"/>
    <mergeCell ref="R79:S79"/>
    <mergeCell ref="Q76:S76"/>
    <mergeCell ref="AF74:AG74"/>
    <mergeCell ref="AA74:AD74"/>
    <mergeCell ref="AB86:AD86"/>
    <mergeCell ref="AI86:AK86"/>
    <mergeCell ref="AE71:AG71"/>
    <mergeCell ref="AI71:AK71"/>
    <mergeCell ref="AE75:AK75"/>
    <mergeCell ref="AE76:AG76"/>
    <mergeCell ref="AE81:AG81"/>
    <mergeCell ref="AI81:AK81"/>
    <mergeCell ref="X80:AD80"/>
    <mergeCell ref="Q81:S81"/>
    <mergeCell ref="AA79:AD79"/>
    <mergeCell ref="T79:W79"/>
    <mergeCell ref="Y79:Z79"/>
    <mergeCell ref="AH84:AK84"/>
    <mergeCell ref="AF84:AG84"/>
    <mergeCell ref="U81:W81"/>
    <mergeCell ref="U86:W86"/>
    <mergeCell ref="X86:Z86"/>
    <mergeCell ref="X85:AD85"/>
    <mergeCell ref="Q85:W85"/>
    <mergeCell ref="Q80:W80"/>
    <mergeCell ref="T84:W84"/>
    <mergeCell ref="R84:S84"/>
    <mergeCell ref="AH79:AK79"/>
    <mergeCell ref="AF79:AG79"/>
    <mergeCell ref="T74:W74"/>
    <mergeCell ref="AB76:AD76"/>
    <mergeCell ref="AT19:AU19"/>
    <mergeCell ref="AS31:AU31"/>
    <mergeCell ref="AS26:AU26"/>
    <mergeCell ref="AL80:AR80"/>
    <mergeCell ref="AM74:AN74"/>
    <mergeCell ref="AL76:AN76"/>
    <mergeCell ref="AH74:AK74"/>
    <mergeCell ref="AE80:AK80"/>
    <mergeCell ref="AL75:AR75"/>
    <mergeCell ref="AL70:AR70"/>
    <mergeCell ref="AL66:AN66"/>
    <mergeCell ref="AL71:AN71"/>
    <mergeCell ref="AO69:AR69"/>
    <mergeCell ref="AO74:AR74"/>
    <mergeCell ref="AE70:AK70"/>
    <mergeCell ref="AF39:AG39"/>
    <mergeCell ref="AE40:AK40"/>
    <mergeCell ref="AE85:AK85"/>
    <mergeCell ref="AB81:AD81"/>
    <mergeCell ref="AI76:AK76"/>
    <mergeCell ref="X75:AD75"/>
    <mergeCell ref="AB71:AD71"/>
    <mergeCell ref="Y74:Z74"/>
    <mergeCell ref="AF69:AG69"/>
    <mergeCell ref="Y84:Z84"/>
    <mergeCell ref="AA84:AD84"/>
    <mergeCell ref="U71:W71"/>
    <mergeCell ref="U76:W76"/>
    <mergeCell ref="R64:S64"/>
    <mergeCell ref="Q70:W70"/>
    <mergeCell ref="Q75:W75"/>
    <mergeCell ref="R74:S74"/>
    <mergeCell ref="U56:W56"/>
    <mergeCell ref="Q61:S61"/>
    <mergeCell ref="AI61:AK61"/>
    <mergeCell ref="X61:Z61"/>
    <mergeCell ref="X60:AD60"/>
    <mergeCell ref="AB61:AD61"/>
    <mergeCell ref="U61:W61"/>
    <mergeCell ref="Q65:W65"/>
    <mergeCell ref="AE66:AG66"/>
    <mergeCell ref="U66:W66"/>
    <mergeCell ref="T69:W69"/>
    <mergeCell ref="R69:S69"/>
    <mergeCell ref="Y64:Z64"/>
    <mergeCell ref="AI66:AK66"/>
    <mergeCell ref="AB66:AD66"/>
    <mergeCell ref="AF64:AG64"/>
    <mergeCell ref="AB51:AD51"/>
    <mergeCell ref="AA59:AD59"/>
    <mergeCell ref="U51:W51"/>
    <mergeCell ref="Q55:W55"/>
    <mergeCell ref="X56:Z56"/>
    <mergeCell ref="Q56:S56"/>
    <mergeCell ref="X55:AD55"/>
    <mergeCell ref="Y54:Z54"/>
    <mergeCell ref="X51:Z51"/>
    <mergeCell ref="R59:S59"/>
    <mergeCell ref="T59:W59"/>
    <mergeCell ref="AB56:AD56"/>
    <mergeCell ref="T64:W64"/>
    <mergeCell ref="AE65:AK65"/>
    <mergeCell ref="AH59:AK59"/>
    <mergeCell ref="AP41:AR41"/>
    <mergeCell ref="AL46:AN46"/>
    <mergeCell ref="AL51:AN51"/>
    <mergeCell ref="AF44:AG44"/>
    <mergeCell ref="AL45:AR45"/>
    <mergeCell ref="AI56:AK56"/>
    <mergeCell ref="AE56:AG56"/>
    <mergeCell ref="AL55:AR55"/>
    <mergeCell ref="AM44:AN44"/>
    <mergeCell ref="AP51:AR51"/>
    <mergeCell ref="AH44:AK44"/>
    <mergeCell ref="AE45:AK45"/>
    <mergeCell ref="AO49:AR49"/>
    <mergeCell ref="AE60:AK60"/>
    <mergeCell ref="AE61:AG61"/>
    <mergeCell ref="AF59:AG59"/>
    <mergeCell ref="AP46:AR46"/>
    <mergeCell ref="AE41:AG41"/>
    <mergeCell ref="AM49:AN49"/>
    <mergeCell ref="AV64:AY64"/>
    <mergeCell ref="AT64:AU64"/>
    <mergeCell ref="AP86:AR86"/>
    <mergeCell ref="AP81:AR81"/>
    <mergeCell ref="AO79:AR79"/>
    <mergeCell ref="AO84:AR84"/>
    <mergeCell ref="AW76:AY76"/>
    <mergeCell ref="AL86:AN86"/>
    <mergeCell ref="AM84:AN84"/>
    <mergeCell ref="AS81:AU81"/>
    <mergeCell ref="AW81:AY81"/>
    <mergeCell ref="AW86:AY86"/>
    <mergeCell ref="AS86:AU86"/>
    <mergeCell ref="AS85:AY85"/>
    <mergeCell ref="AV84:AY84"/>
    <mergeCell ref="AL85:AR85"/>
    <mergeCell ref="AS76:AU76"/>
    <mergeCell ref="AV79:AY79"/>
    <mergeCell ref="AS65:AY65"/>
    <mergeCell ref="AS80:AY80"/>
    <mergeCell ref="AT79:AU79"/>
    <mergeCell ref="AP76:AR76"/>
    <mergeCell ref="Q66:S66"/>
    <mergeCell ref="AL81:AN81"/>
    <mergeCell ref="AM79:AN79"/>
    <mergeCell ref="Q71:S71"/>
    <mergeCell ref="AZ86:BB86"/>
    <mergeCell ref="K79:L79"/>
    <mergeCell ref="J66:L66"/>
    <mergeCell ref="J81:L81"/>
    <mergeCell ref="J75:P75"/>
    <mergeCell ref="M79:P79"/>
    <mergeCell ref="J76:L76"/>
    <mergeCell ref="N81:P81"/>
    <mergeCell ref="N76:P76"/>
    <mergeCell ref="K69:L69"/>
    <mergeCell ref="M74:P74"/>
    <mergeCell ref="M69:P69"/>
    <mergeCell ref="AT84:AU84"/>
    <mergeCell ref="AH69:AK69"/>
    <mergeCell ref="X76:Z76"/>
    <mergeCell ref="AA69:AD69"/>
    <mergeCell ref="Y69:Z69"/>
    <mergeCell ref="X81:Z81"/>
    <mergeCell ref="X71:Z71"/>
    <mergeCell ref="X70:AD70"/>
    <mergeCell ref="C61:E61"/>
    <mergeCell ref="M59:P59"/>
    <mergeCell ref="J61:L61"/>
    <mergeCell ref="K59:L59"/>
    <mergeCell ref="AT54:AU54"/>
    <mergeCell ref="AS55:AY55"/>
    <mergeCell ref="AW56:AY56"/>
    <mergeCell ref="AO54:AR54"/>
    <mergeCell ref="AA54:AD54"/>
    <mergeCell ref="Y59:Z59"/>
    <mergeCell ref="G61:I61"/>
    <mergeCell ref="C60:I60"/>
    <mergeCell ref="AV54:AY54"/>
    <mergeCell ref="AT59:AU59"/>
    <mergeCell ref="AS60:AY60"/>
    <mergeCell ref="AV59:AY59"/>
    <mergeCell ref="AW61:AY61"/>
    <mergeCell ref="AS61:AU61"/>
    <mergeCell ref="N51:P51"/>
    <mergeCell ref="K49:L49"/>
    <mergeCell ref="R39:S39"/>
    <mergeCell ref="M39:P39"/>
    <mergeCell ref="J41:L41"/>
    <mergeCell ref="J36:L36"/>
    <mergeCell ref="N36:P36"/>
    <mergeCell ref="N56:P56"/>
    <mergeCell ref="N61:P61"/>
    <mergeCell ref="Q60:W60"/>
    <mergeCell ref="BI26:BI35"/>
    <mergeCell ref="BH26:BH35"/>
    <mergeCell ref="BA29:BB29"/>
    <mergeCell ref="D49:E49"/>
    <mergeCell ref="C46:E46"/>
    <mergeCell ref="K54:L54"/>
    <mergeCell ref="G71:I71"/>
    <mergeCell ref="F74:I74"/>
    <mergeCell ref="D74:E74"/>
    <mergeCell ref="G66:I66"/>
    <mergeCell ref="K64:L64"/>
    <mergeCell ref="J65:P65"/>
    <mergeCell ref="C65:I65"/>
    <mergeCell ref="M64:P64"/>
    <mergeCell ref="AZ41:BB41"/>
    <mergeCell ref="BD41:BF41"/>
    <mergeCell ref="AZ36:BB36"/>
    <mergeCell ref="AS36:AU36"/>
    <mergeCell ref="AZ40:BF40"/>
    <mergeCell ref="J71:L71"/>
    <mergeCell ref="AW41:AY41"/>
    <mergeCell ref="AS40:AY40"/>
    <mergeCell ref="Q46:S46"/>
    <mergeCell ref="Q51:S51"/>
    <mergeCell ref="BA44:BB44"/>
    <mergeCell ref="AS41:AU41"/>
    <mergeCell ref="AV39:AY39"/>
    <mergeCell ref="AW36:AY36"/>
    <mergeCell ref="AH39:AK39"/>
    <mergeCell ref="AT34:AU34"/>
    <mergeCell ref="AS25:AY25"/>
    <mergeCell ref="AE25:AK25"/>
    <mergeCell ref="AH29:AK29"/>
    <mergeCell ref="AI26:AK26"/>
    <mergeCell ref="AL36:AN36"/>
    <mergeCell ref="AP36:AR36"/>
    <mergeCell ref="AH34:AK34"/>
    <mergeCell ref="AO34:AR34"/>
    <mergeCell ref="AM39:AN39"/>
    <mergeCell ref="AS30:AY30"/>
    <mergeCell ref="AV29:AY29"/>
    <mergeCell ref="AT29:AU29"/>
    <mergeCell ref="AL41:AN41"/>
    <mergeCell ref="AW31:AY31"/>
    <mergeCell ref="AL35:AR35"/>
    <mergeCell ref="AO39:AR39"/>
    <mergeCell ref="AV34:AY34"/>
    <mergeCell ref="AO9:AR9"/>
    <mergeCell ref="AO14:AR14"/>
    <mergeCell ref="X15:AD15"/>
    <mergeCell ref="AE15:AK15"/>
    <mergeCell ref="AF9:AG9"/>
    <mergeCell ref="AI11:AK11"/>
    <mergeCell ref="Y9:Z9"/>
    <mergeCell ref="AA9:AD9"/>
    <mergeCell ref="AV24:AY24"/>
    <mergeCell ref="AP21:AR21"/>
    <mergeCell ref="X20:AD20"/>
    <mergeCell ref="AL20:AR20"/>
    <mergeCell ref="AL21:AN21"/>
    <mergeCell ref="AO24:AR24"/>
    <mergeCell ref="AM24:AN24"/>
    <mergeCell ref="AE21:AG21"/>
    <mergeCell ref="AF24:AG24"/>
    <mergeCell ref="AB21:AD21"/>
    <mergeCell ref="AE20:AK20"/>
    <mergeCell ref="AS20:AY20"/>
    <mergeCell ref="AW21:AY21"/>
    <mergeCell ref="AS21:AU21"/>
    <mergeCell ref="AT24:AU24"/>
    <mergeCell ref="N46:P46"/>
    <mergeCell ref="AL16:AN16"/>
    <mergeCell ref="AP16:AR16"/>
    <mergeCell ref="M44:P44"/>
    <mergeCell ref="J50:P50"/>
    <mergeCell ref="J46:L46"/>
    <mergeCell ref="M49:P49"/>
    <mergeCell ref="X30:AD30"/>
    <mergeCell ref="AB26:AD26"/>
    <mergeCell ref="Y29:Z29"/>
    <mergeCell ref="X26:Z26"/>
    <mergeCell ref="AA29:AD29"/>
    <mergeCell ref="AL31:AN31"/>
    <mergeCell ref="AL30:AR30"/>
    <mergeCell ref="AP31:AR31"/>
    <mergeCell ref="X16:Z16"/>
    <mergeCell ref="AM29:AN29"/>
    <mergeCell ref="AL26:AN26"/>
    <mergeCell ref="AL25:AR25"/>
    <mergeCell ref="X31:Z31"/>
    <mergeCell ref="AB31:AD31"/>
    <mergeCell ref="T44:W44"/>
    <mergeCell ref="T49:W49"/>
    <mergeCell ref="J45:P45"/>
    <mergeCell ref="AV44:AY44"/>
    <mergeCell ref="AS45:AY45"/>
    <mergeCell ref="R54:S54"/>
    <mergeCell ref="Q50:W50"/>
    <mergeCell ref="AA19:AD19"/>
    <mergeCell ref="AO19:AR19"/>
    <mergeCell ref="AE11:AG11"/>
    <mergeCell ref="X11:Z11"/>
    <mergeCell ref="AM19:AN19"/>
    <mergeCell ref="AL15:AR15"/>
    <mergeCell ref="T54:W54"/>
    <mergeCell ref="AB11:AD11"/>
    <mergeCell ref="AT14:AU14"/>
    <mergeCell ref="AH14:AK14"/>
    <mergeCell ref="AM14:AN14"/>
    <mergeCell ref="Y14:Z14"/>
    <mergeCell ref="AF14:AG14"/>
    <mergeCell ref="AA14:AD14"/>
    <mergeCell ref="AT39:AU39"/>
    <mergeCell ref="AT44:AU44"/>
    <mergeCell ref="AW26:AY26"/>
    <mergeCell ref="AV49:AY49"/>
    <mergeCell ref="AS51:AU51"/>
    <mergeCell ref="AW51:AY51"/>
    <mergeCell ref="Y19:Z19"/>
    <mergeCell ref="Q41:S41"/>
    <mergeCell ref="R44:S44"/>
    <mergeCell ref="AM54:AN54"/>
    <mergeCell ref="AI41:AK41"/>
    <mergeCell ref="AL50:AR50"/>
    <mergeCell ref="AO44:AR44"/>
    <mergeCell ref="R49:S49"/>
    <mergeCell ref="U46:W46"/>
    <mergeCell ref="U36:W36"/>
    <mergeCell ref="Q45:W45"/>
    <mergeCell ref="T39:W39"/>
    <mergeCell ref="U41:W41"/>
    <mergeCell ref="Q36:S36"/>
    <mergeCell ref="Q40:W40"/>
    <mergeCell ref="Y34:Z34"/>
    <mergeCell ref="AA34:AD34"/>
    <mergeCell ref="AA49:AD49"/>
    <mergeCell ref="X50:AD50"/>
    <mergeCell ref="X46:Z46"/>
    <mergeCell ref="X35:AD35"/>
    <mergeCell ref="AB46:AD46"/>
    <mergeCell ref="AZ87:BF87"/>
    <mergeCell ref="C87:I87"/>
    <mergeCell ref="J87:P87"/>
    <mergeCell ref="Q87:W87"/>
    <mergeCell ref="X87:AD87"/>
    <mergeCell ref="AE87:AK87"/>
    <mergeCell ref="AL87:AR87"/>
    <mergeCell ref="AS87:AY87"/>
    <mergeCell ref="C76:E76"/>
    <mergeCell ref="G81:I81"/>
    <mergeCell ref="C85:I85"/>
    <mergeCell ref="C86:E86"/>
    <mergeCell ref="G86:I86"/>
    <mergeCell ref="C81:E81"/>
    <mergeCell ref="D84:E84"/>
    <mergeCell ref="F84:I84"/>
    <mergeCell ref="J80:P80"/>
    <mergeCell ref="M84:P84"/>
    <mergeCell ref="N86:P86"/>
    <mergeCell ref="J85:P85"/>
    <mergeCell ref="J86:L86"/>
    <mergeCell ref="K84:L84"/>
    <mergeCell ref="BD86:BF86"/>
    <mergeCell ref="AE86:AG86"/>
    <mergeCell ref="T14:W14"/>
    <mergeCell ref="U16:W16"/>
    <mergeCell ref="Q15:W15"/>
    <mergeCell ref="AV9:AY9"/>
    <mergeCell ref="AV14:AY14"/>
    <mergeCell ref="AE26:AG26"/>
    <mergeCell ref="AF34:AG34"/>
    <mergeCell ref="AI31:AK31"/>
    <mergeCell ref="AF29:AG29"/>
    <mergeCell ref="AO29:AR29"/>
    <mergeCell ref="AE31:AG31"/>
    <mergeCell ref="AM34:AN34"/>
    <mergeCell ref="AH19:AK19"/>
    <mergeCell ref="AS11:AU11"/>
    <mergeCell ref="AP11:AR11"/>
    <mergeCell ref="AM9:AN9"/>
    <mergeCell ref="AL11:AN11"/>
    <mergeCell ref="AH9:AK9"/>
    <mergeCell ref="AS10:AY10"/>
    <mergeCell ref="AI16:AK16"/>
    <mergeCell ref="AW11:AY11"/>
    <mergeCell ref="AP26:AR26"/>
    <mergeCell ref="AE16:AG16"/>
    <mergeCell ref="AF19:AG19"/>
    <mergeCell ref="AE5:AK5"/>
    <mergeCell ref="AI6:AK6"/>
    <mergeCell ref="AS6:AU6"/>
    <mergeCell ref="C5:I5"/>
    <mergeCell ref="AS3:AY3"/>
    <mergeCell ref="AL3:AR3"/>
    <mergeCell ref="AW6:AY6"/>
    <mergeCell ref="AP6:AR6"/>
    <mergeCell ref="X3:AD3"/>
    <mergeCell ref="AE3:AK3"/>
    <mergeCell ref="X5:AD5"/>
    <mergeCell ref="C3:I3"/>
    <mergeCell ref="J6:L6"/>
    <mergeCell ref="U6:W6"/>
    <mergeCell ref="N6:P6"/>
    <mergeCell ref="Q3:W3"/>
    <mergeCell ref="J5:P5"/>
    <mergeCell ref="Q5:W5"/>
    <mergeCell ref="Q6:S6"/>
    <mergeCell ref="AE6:AG6"/>
    <mergeCell ref="F54:I54"/>
    <mergeCell ref="B46:B55"/>
    <mergeCell ref="C55:I55"/>
    <mergeCell ref="F49:I49"/>
    <mergeCell ref="A26:A35"/>
    <mergeCell ref="A36:A45"/>
    <mergeCell ref="B26:B35"/>
    <mergeCell ref="AZ3:BF3"/>
    <mergeCell ref="J3:P3"/>
    <mergeCell ref="B4:BG4"/>
    <mergeCell ref="AB6:AD6"/>
    <mergeCell ref="X6:Z6"/>
    <mergeCell ref="B6:B15"/>
    <mergeCell ref="J15:P15"/>
    <mergeCell ref="AS5:AY5"/>
    <mergeCell ref="AL5:AR5"/>
    <mergeCell ref="AT9:AU9"/>
    <mergeCell ref="AL6:AN6"/>
    <mergeCell ref="AE10:AK10"/>
    <mergeCell ref="J11:L11"/>
    <mergeCell ref="N11:P11"/>
    <mergeCell ref="AL10:AR10"/>
    <mergeCell ref="X10:AD10"/>
    <mergeCell ref="M9:P9"/>
    <mergeCell ref="AL40:AR40"/>
    <mergeCell ref="AI36:AK36"/>
    <mergeCell ref="X21:Z21"/>
    <mergeCell ref="X25:AD25"/>
    <mergeCell ref="AI21:AK21"/>
    <mergeCell ref="AE30:AK30"/>
    <mergeCell ref="J26:L26"/>
    <mergeCell ref="J30:P30"/>
    <mergeCell ref="K29:L29"/>
    <mergeCell ref="M29:P29"/>
    <mergeCell ref="J31:L31"/>
    <mergeCell ref="AH24:AK24"/>
    <mergeCell ref="N31:P31"/>
    <mergeCell ref="R24:S24"/>
    <mergeCell ref="T24:W24"/>
    <mergeCell ref="U21:W21"/>
    <mergeCell ref="Q25:W25"/>
    <mergeCell ref="AE35:AK35"/>
    <mergeCell ref="A56:A65"/>
    <mergeCell ref="AE36:AG36"/>
    <mergeCell ref="D54:E54"/>
    <mergeCell ref="J51:L51"/>
    <mergeCell ref="M54:P54"/>
    <mergeCell ref="D59:E59"/>
    <mergeCell ref="G56:I56"/>
    <mergeCell ref="Y49:Z49"/>
    <mergeCell ref="N41:P41"/>
    <mergeCell ref="B56:B65"/>
    <mergeCell ref="J60:P60"/>
    <mergeCell ref="D64:E64"/>
    <mergeCell ref="C56:E56"/>
    <mergeCell ref="F64:I64"/>
    <mergeCell ref="C41:E41"/>
    <mergeCell ref="G41:I41"/>
    <mergeCell ref="C51:E51"/>
    <mergeCell ref="F59:I59"/>
    <mergeCell ref="G51:I51"/>
    <mergeCell ref="K39:L39"/>
    <mergeCell ref="J40:P40"/>
    <mergeCell ref="J55:P55"/>
    <mergeCell ref="A46:A55"/>
    <mergeCell ref="B36:B45"/>
    <mergeCell ref="T9:W9"/>
    <mergeCell ref="AA24:AD24"/>
    <mergeCell ref="Y24:Z24"/>
    <mergeCell ref="AB16:AD16"/>
    <mergeCell ref="J56:L56"/>
    <mergeCell ref="M34:P34"/>
    <mergeCell ref="R19:S19"/>
    <mergeCell ref="Q16:S16"/>
    <mergeCell ref="Q20:W20"/>
    <mergeCell ref="Q21:S21"/>
    <mergeCell ref="N26:P26"/>
    <mergeCell ref="K44:L44"/>
    <mergeCell ref="K34:L34"/>
    <mergeCell ref="J35:P35"/>
    <mergeCell ref="K9:L9"/>
    <mergeCell ref="Q10:W10"/>
    <mergeCell ref="R9:S9"/>
    <mergeCell ref="J10:P10"/>
    <mergeCell ref="U11:W11"/>
    <mergeCell ref="Q11:S11"/>
    <mergeCell ref="K14:L14"/>
    <mergeCell ref="T19:W19"/>
    <mergeCell ref="M14:P14"/>
    <mergeCell ref="R14:S14"/>
    <mergeCell ref="A66:A75"/>
    <mergeCell ref="B76:B85"/>
    <mergeCell ref="C71:E71"/>
    <mergeCell ref="K74:L74"/>
    <mergeCell ref="C70:I70"/>
    <mergeCell ref="C66:E66"/>
    <mergeCell ref="B66:B75"/>
    <mergeCell ref="F69:I69"/>
    <mergeCell ref="A76:A85"/>
    <mergeCell ref="D69:E69"/>
    <mergeCell ref="D79:E79"/>
    <mergeCell ref="G76:I76"/>
    <mergeCell ref="F79:I79"/>
    <mergeCell ref="C80:I80"/>
    <mergeCell ref="C75:I75"/>
    <mergeCell ref="J70:P70"/>
    <mergeCell ref="N71:P71"/>
    <mergeCell ref="N66:P66"/>
    <mergeCell ref="F39:I39"/>
    <mergeCell ref="F29:I29"/>
    <mergeCell ref="C50:I50"/>
    <mergeCell ref="F34:I34"/>
    <mergeCell ref="D39:E39"/>
    <mergeCell ref="C36:E36"/>
    <mergeCell ref="D34:E34"/>
    <mergeCell ref="C40:I40"/>
    <mergeCell ref="D24:E24"/>
    <mergeCell ref="F24:I24"/>
    <mergeCell ref="C45:I45"/>
    <mergeCell ref="D44:E44"/>
    <mergeCell ref="F44:I44"/>
    <mergeCell ref="G46:I46"/>
    <mergeCell ref="G26:I26"/>
    <mergeCell ref="C31:E31"/>
    <mergeCell ref="C26:E26"/>
    <mergeCell ref="D29:E29"/>
    <mergeCell ref="C35:I35"/>
    <mergeCell ref="C30:I30"/>
    <mergeCell ref="G31:I31"/>
    <mergeCell ref="G36:I36"/>
    <mergeCell ref="A6:A15"/>
    <mergeCell ref="A16:A25"/>
    <mergeCell ref="B16:B25"/>
    <mergeCell ref="D19:E19"/>
    <mergeCell ref="C20:I20"/>
    <mergeCell ref="C16:E16"/>
    <mergeCell ref="C25:I25"/>
    <mergeCell ref="C21:E21"/>
    <mergeCell ref="G21:I21"/>
    <mergeCell ref="F19:I19"/>
    <mergeCell ref="G16:I16"/>
  </mergeCells>
  <phoneticPr fontId="2"/>
  <printOptions horizontalCentered="1" verticalCentered="1"/>
  <pageMargins left="0.78740157480314965" right="0.39370078740157483" top="0.39370078740157483" bottom="0.19685039370078741" header="0" footer="0"/>
  <pageSetup paperSize="9" scale="90" orientation="portrait" horizont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FF"/>
  </sheetPr>
  <dimension ref="A1:BM101"/>
  <sheetViews>
    <sheetView view="pageBreakPreview" zoomScale="125" zoomScaleNormal="90" zoomScaleSheetLayoutView="100" workbookViewId="0">
      <pane xSplit="1" ySplit="4" topLeftCell="B56" activePane="bottomRight" state="frozen"/>
      <selection pane="topRight" activeCell="B1" sqref="B1"/>
      <selection pane="bottomLeft" activeCell="A3" sqref="A3"/>
      <selection pane="bottomRight" activeCell="A25" sqref="A25:A34"/>
    </sheetView>
  </sheetViews>
  <sheetFormatPr defaultColWidth="9" defaultRowHeight="12.75" x14ac:dyDescent="0.25"/>
  <cols>
    <col min="1" max="1" width="10" style="1" customWidth="1"/>
    <col min="2" max="2" width="0.73046875" style="1" customWidth="1"/>
    <col min="3" max="3" width="0.59765625" style="1" customWidth="1"/>
    <col min="4" max="4" width="1.86328125" style="1" customWidth="1"/>
    <col min="5" max="5" width="2.59765625" style="1" customWidth="1"/>
    <col min="6" max="6" width="1.86328125" style="1" customWidth="1"/>
    <col min="7" max="7" width="0.59765625" style="1" customWidth="1"/>
    <col min="8" max="8" width="0.73046875" style="1" customWidth="1"/>
    <col min="9" max="9" width="0.73046875" style="3" customWidth="1"/>
    <col min="10" max="10" width="0.59765625" style="1" customWidth="1"/>
    <col min="11" max="11" width="1.86328125" style="1" customWidth="1"/>
    <col min="12" max="12" width="2.59765625" style="1" customWidth="1"/>
    <col min="13" max="13" width="1.86328125" style="1" customWidth="1"/>
    <col min="14" max="14" width="0.59765625" style="1" customWidth="1"/>
    <col min="15" max="15" width="0.73046875" style="3" customWidth="1"/>
    <col min="16" max="16" width="0.73046875" style="1" customWidth="1"/>
    <col min="17" max="17" width="0.59765625" style="1" customWidth="1"/>
    <col min="18" max="18" width="1.86328125" style="1" customWidth="1"/>
    <col min="19" max="19" width="2.59765625" style="1" customWidth="1"/>
    <col min="20" max="20" width="1.86328125" style="1" customWidth="1"/>
    <col min="21" max="21" width="0.59765625" style="1" customWidth="1"/>
    <col min="22" max="23" width="0.73046875" style="1" customWidth="1"/>
    <col min="24" max="24" width="0.59765625" style="1" customWidth="1"/>
    <col min="25" max="25" width="1.86328125" style="1" customWidth="1"/>
    <col min="26" max="26" width="2.59765625" style="1" customWidth="1"/>
    <col min="27" max="27" width="1.86328125" style="1" customWidth="1"/>
    <col min="28" max="28" width="0.59765625" style="1" customWidth="1"/>
    <col min="29" max="30" width="0.73046875" style="1" customWidth="1"/>
    <col min="31" max="31" width="0.59765625" style="1" customWidth="1"/>
    <col min="32" max="32" width="1.86328125" style="1" customWidth="1"/>
    <col min="33" max="33" width="2.59765625" style="1" customWidth="1"/>
    <col min="34" max="34" width="1.86328125" style="1" customWidth="1"/>
    <col min="35" max="35" width="0.59765625" style="1" customWidth="1"/>
    <col min="36" max="37" width="0.73046875" style="1" customWidth="1"/>
    <col min="38" max="38" width="0.59765625" style="1" customWidth="1"/>
    <col min="39" max="39" width="1.86328125" style="1" customWidth="1"/>
    <col min="40" max="40" width="2.59765625" style="1" customWidth="1"/>
    <col min="41" max="41" width="1.86328125" style="1" customWidth="1"/>
    <col min="42" max="42" width="0.59765625" style="1" customWidth="1"/>
    <col min="43" max="44" width="0.73046875" style="1" customWidth="1"/>
    <col min="45" max="45" width="0.59765625" style="1" customWidth="1"/>
    <col min="46" max="46" width="1.86328125" style="1" customWidth="1"/>
    <col min="47" max="47" width="2.59765625" style="1" customWidth="1"/>
    <col min="48" max="48" width="1.86328125" style="1" customWidth="1"/>
    <col min="49" max="49" width="0.59765625" style="1" customWidth="1"/>
    <col min="50" max="51" width="0.73046875" style="1" customWidth="1"/>
    <col min="52" max="52" width="0.59765625" style="1" customWidth="1"/>
    <col min="53" max="53" width="1.86328125" style="1" customWidth="1"/>
    <col min="54" max="54" width="2.59765625" style="1" customWidth="1"/>
    <col min="55" max="55" width="1.86328125" style="1" customWidth="1"/>
    <col min="56" max="56" width="0.59765625" style="1" customWidth="1"/>
    <col min="57" max="57" width="0.73046875" style="1" customWidth="1"/>
    <col min="58" max="62" width="3.73046875" style="1" customWidth="1"/>
    <col min="63" max="63" width="7.86328125" style="1" customWidth="1"/>
    <col min="64" max="64" width="3.73046875" style="1" customWidth="1"/>
    <col min="65" max="65" width="5.73046875" style="1" customWidth="1"/>
    <col min="66" max="16384" width="9" style="1"/>
  </cols>
  <sheetData>
    <row r="1" spans="1:65" ht="20.25" customHeight="1" x14ac:dyDescent="0.25">
      <c r="A1" s="18" t="s">
        <v>214</v>
      </c>
      <c r="R1" s="65" t="s">
        <v>205</v>
      </c>
      <c r="AY1" s="14"/>
      <c r="AZ1" s="14"/>
      <c r="BA1" s="14"/>
      <c r="BB1" s="14"/>
      <c r="BC1" s="14"/>
      <c r="BG1" s="120"/>
      <c r="BI1" s="14"/>
      <c r="BJ1" s="14"/>
      <c r="BK1" s="14"/>
    </row>
    <row r="2" spans="1:65" ht="12.75" customHeight="1" x14ac:dyDescent="0.25">
      <c r="A2" s="19" t="s">
        <v>206</v>
      </c>
      <c r="BC2" s="55"/>
    </row>
    <row r="3" spans="1:65" ht="26.25" customHeight="1" thickBot="1" x14ac:dyDescent="0.3">
      <c r="A3" s="550" t="str">
        <f>結果!B4</f>
        <v>高円宮杯 第９回 石川県ユース(Ｕ－1５)サッカーチャレンジリーグ 2016</v>
      </c>
      <c r="B3" s="550"/>
      <c r="C3" s="550"/>
      <c r="D3" s="550"/>
      <c r="E3" s="550"/>
      <c r="F3" s="550"/>
      <c r="G3" s="550"/>
      <c r="H3" s="550"/>
      <c r="I3" s="550"/>
      <c r="J3" s="550"/>
      <c r="K3" s="550"/>
      <c r="L3" s="550"/>
      <c r="M3" s="550"/>
      <c r="N3" s="550"/>
      <c r="O3" s="550"/>
      <c r="P3" s="550"/>
      <c r="Q3" s="550"/>
      <c r="R3" s="550"/>
      <c r="S3" s="550"/>
      <c r="T3" s="550"/>
      <c r="U3" s="550"/>
      <c r="V3" s="550"/>
      <c r="W3" s="550"/>
      <c r="X3" s="550"/>
      <c r="Y3" s="550"/>
      <c r="Z3" s="550"/>
      <c r="AA3" s="550"/>
      <c r="AB3" s="550"/>
      <c r="AC3" s="550"/>
      <c r="AD3" s="550"/>
      <c r="AE3" s="550"/>
      <c r="AF3" s="550"/>
      <c r="AG3" s="550"/>
      <c r="AH3" s="550"/>
      <c r="AI3" s="550"/>
      <c r="AJ3" s="550"/>
      <c r="AK3" s="550"/>
      <c r="AL3" s="550"/>
      <c r="AM3" s="550"/>
      <c r="AN3" s="550"/>
      <c r="AO3" s="550"/>
      <c r="AP3" s="550"/>
      <c r="AQ3" s="550"/>
      <c r="AR3" s="550"/>
      <c r="AS3" s="550"/>
      <c r="AT3" s="550"/>
      <c r="AU3" s="550"/>
      <c r="AV3" s="550"/>
      <c r="AW3" s="550"/>
      <c r="AX3" s="550"/>
      <c r="AY3" s="550"/>
      <c r="AZ3" s="550"/>
      <c r="BA3" s="550"/>
      <c r="BB3" s="550"/>
      <c r="BC3" s="550"/>
      <c r="BD3" s="550"/>
      <c r="BE3" s="550"/>
      <c r="BF3" s="550"/>
      <c r="BG3" s="598" t="str">
        <f>結果!BH4</f>
        <v>≪トップ≫</v>
      </c>
      <c r="BH3" s="598"/>
      <c r="BI3" s="598"/>
      <c r="BJ3" s="598"/>
    </row>
    <row r="4" spans="1:65" s="56" customFormat="1" ht="23.25" customHeight="1" thickBot="1" x14ac:dyDescent="0.3">
      <c r="A4" s="20" t="str">
        <f>結果!B5</f>
        <v>トップ</v>
      </c>
      <c r="B4" s="555" t="str">
        <f>INDEX(編成!$E4:$AB5,2,MATCH($A5,編成!$E4:$AB4,0))</f>
        <v>サザン1st</v>
      </c>
      <c r="C4" s="556"/>
      <c r="D4" s="556"/>
      <c r="E4" s="556"/>
      <c r="F4" s="556"/>
      <c r="G4" s="556"/>
      <c r="H4" s="556"/>
      <c r="I4" s="555" t="str">
        <f>INDEX(編成!$E4:$AB5,2,MATCH($A15,編成!$E4:$AB4,0))</f>
        <v>ﾂｴｰｹﾞﾝ1st</v>
      </c>
      <c r="J4" s="556"/>
      <c r="K4" s="556"/>
      <c r="L4" s="556"/>
      <c r="M4" s="556"/>
      <c r="N4" s="556"/>
      <c r="O4" s="556"/>
      <c r="P4" s="555" t="str">
        <f>INDEX(編成!$E4:$AB5,2,MATCH($A25,編成!$E4:$AB4,0))</f>
        <v>星稜中</v>
      </c>
      <c r="Q4" s="556"/>
      <c r="R4" s="556"/>
      <c r="S4" s="556"/>
      <c r="T4" s="556"/>
      <c r="U4" s="556"/>
      <c r="V4" s="556"/>
      <c r="W4" s="555" t="str">
        <f>INDEX(編成!$E4:$AB5,2,MATCH($A35,編成!$E4:$AB4,0))</f>
        <v>セブン1st</v>
      </c>
      <c r="X4" s="556"/>
      <c r="Y4" s="556"/>
      <c r="Z4" s="556"/>
      <c r="AA4" s="556"/>
      <c r="AB4" s="556"/>
      <c r="AC4" s="556"/>
      <c r="AD4" s="555" t="str">
        <f>INDEX(編成!$E4:$AB5,2,MATCH($A45,編成!$E4:$AB4,0))</f>
        <v>ﾍﾐﾆｽ1st</v>
      </c>
      <c r="AE4" s="556"/>
      <c r="AF4" s="556"/>
      <c r="AG4" s="556"/>
      <c r="AH4" s="556"/>
      <c r="AI4" s="556"/>
      <c r="AJ4" s="556"/>
      <c r="AK4" s="555" t="str">
        <f>IF(結果!AL5="6",結果!AL5,INDEX(編成!$E4:$AB5,2,MATCH($A55,編成!$E4:$AB4,0)))</f>
        <v>Riopedra</v>
      </c>
      <c r="AL4" s="556"/>
      <c r="AM4" s="556"/>
      <c r="AN4" s="556"/>
      <c r="AO4" s="556"/>
      <c r="AP4" s="556"/>
      <c r="AQ4" s="556"/>
      <c r="AR4" s="555" t="str">
        <f>IF(結果!AS5="7",結果!AS5,INDEX(編成!$E4:$AB5,2,MATCH($A65,編成!$E4:$AB4,0)))</f>
        <v>FC小松1st</v>
      </c>
      <c r="AS4" s="556"/>
      <c r="AT4" s="556"/>
      <c r="AU4" s="556"/>
      <c r="AV4" s="556"/>
      <c r="AW4" s="556"/>
      <c r="AX4" s="556"/>
      <c r="AY4" s="555" t="str">
        <f>IF(結果!AZ5="8",結果!AZ5,INDEX(編成!$E4:$AB5,2,MATCH($A75,編成!$E4:$AB4,0)))</f>
        <v>ﾃｲﾍﾝｽﾞ1st</v>
      </c>
      <c r="AZ4" s="556"/>
      <c r="BA4" s="556"/>
      <c r="BB4" s="556"/>
      <c r="BC4" s="556"/>
      <c r="BD4" s="556"/>
      <c r="BE4" s="556"/>
      <c r="BF4" s="11" t="s">
        <v>207</v>
      </c>
      <c r="BG4" s="10" t="s">
        <v>208</v>
      </c>
      <c r="BH4" s="10" t="s">
        <v>209</v>
      </c>
      <c r="BI4" s="12" t="s">
        <v>210</v>
      </c>
      <c r="BJ4" s="13" t="s">
        <v>211</v>
      </c>
      <c r="BK4" s="95" t="s">
        <v>211</v>
      </c>
      <c r="BL4" s="102" t="s">
        <v>211</v>
      </c>
      <c r="BM4" s="56" t="s">
        <v>215</v>
      </c>
    </row>
    <row r="5" spans="1:65" ht="11.25" customHeight="1" thickTop="1" x14ac:dyDescent="0.25">
      <c r="A5" s="554" t="str">
        <f>INDEX(結果!$B$6:$BL$85,MATCH($BL5,結果!BP$6:BP$85,0),1)</f>
        <v>FC.
SOUTHERN
1st</v>
      </c>
      <c r="B5" s="82"/>
      <c r="C5" s="83"/>
      <c r="D5" s="83"/>
      <c r="E5" s="83"/>
      <c r="F5" s="83"/>
      <c r="G5" s="83"/>
      <c r="H5" s="84"/>
      <c r="I5" s="553">
        <f>IF(K7="","",K6+K7)</f>
        <v>2</v>
      </c>
      <c r="J5" s="551"/>
      <c r="K5" s="551"/>
      <c r="L5" s="1" t="str">
        <f>IF(K7="","",IF(I5=M5,"△",IF(I5&gt;M5,"○","●")))</f>
        <v>○</v>
      </c>
      <c r="M5" s="551">
        <f>IF(M7="","",M6+M7)</f>
        <v>0</v>
      </c>
      <c r="N5" s="551"/>
      <c r="O5" s="552"/>
      <c r="P5" s="553">
        <f>IF(R7="","",R6+R7)</f>
        <v>5</v>
      </c>
      <c r="Q5" s="551"/>
      <c r="R5" s="551"/>
      <c r="S5" s="1" t="str">
        <f>IF(R7="","",IF(P5=T5,"△",IF(P5&gt;T5,"○","●")))</f>
        <v>○</v>
      </c>
      <c r="T5" s="551">
        <f>IF(T7="","",T6+T7)</f>
        <v>1</v>
      </c>
      <c r="U5" s="551"/>
      <c r="V5" s="552"/>
      <c r="W5" s="553">
        <f>IF(Y7="","",Y6+Y7)</f>
        <v>1</v>
      </c>
      <c r="X5" s="551"/>
      <c r="Y5" s="551"/>
      <c r="Z5" s="1" t="str">
        <f>IF(Y7="","",IF(W5=AA5,"△",IF(W5&gt;AA5,"○","●")))</f>
        <v>△</v>
      </c>
      <c r="AA5" s="551">
        <f>IF(AA7="","",AA6+AA7)</f>
        <v>1</v>
      </c>
      <c r="AB5" s="551"/>
      <c r="AC5" s="552"/>
      <c r="AD5" s="553">
        <f>IF(AF7="","",AF6+AF7)</f>
        <v>3</v>
      </c>
      <c r="AE5" s="551"/>
      <c r="AF5" s="551"/>
      <c r="AG5" s="1" t="str">
        <f>IF(AF7="","",IF(AD5=AH5,"△",IF(AD5&gt;AH5,"○","●")))</f>
        <v>△</v>
      </c>
      <c r="AH5" s="551">
        <f>IF(AH7="","",AH6+AH7)</f>
        <v>3</v>
      </c>
      <c r="AI5" s="551"/>
      <c r="AJ5" s="552"/>
      <c r="AK5" s="553">
        <f>IF(AM7="","",AM6+AM7)</f>
        <v>3</v>
      </c>
      <c r="AL5" s="551"/>
      <c r="AM5" s="551"/>
      <c r="AN5" s="1" t="str">
        <f>IF(AM7="","",IF(AK5=AO5,"△",IF(AK5&gt;AO5,"○","●")))</f>
        <v>○</v>
      </c>
      <c r="AO5" s="551">
        <f>IF(AO7="","",AO6+AO7)</f>
        <v>0</v>
      </c>
      <c r="AP5" s="551"/>
      <c r="AQ5" s="552"/>
      <c r="AR5" s="553">
        <f>IF(AT7="","",AT6+AT7)</f>
        <v>1</v>
      </c>
      <c r="AS5" s="551"/>
      <c r="AT5" s="551"/>
      <c r="AU5" s="1" t="str">
        <f>IF(AT7="","",IF(AR5=AV5,"△",IF(AR5&gt;AV5,"○","●")))</f>
        <v>○</v>
      </c>
      <c r="AV5" s="551">
        <f>IF(AV7="","",AV6+AV7)</f>
        <v>0</v>
      </c>
      <c r="AW5" s="551"/>
      <c r="AX5" s="552"/>
      <c r="AY5" s="553">
        <f>IF(BA7="","",BA6+BA7)</f>
        <v>10</v>
      </c>
      <c r="AZ5" s="551"/>
      <c r="BA5" s="551"/>
      <c r="BB5" s="1" t="str">
        <f>IF(BA7="","",IF(AY5=BC5,"△",IF(AY5&gt;BC5,"○","●")))</f>
        <v>○</v>
      </c>
      <c r="BC5" s="551">
        <f>IF(BC7="","",BC6+BC7)</f>
        <v>0</v>
      </c>
      <c r="BD5" s="551"/>
      <c r="BE5" s="552"/>
      <c r="BF5" s="572">
        <f>IF(COUNT(B6:BE6)=0,"",COUNTIF(E$5:E$84,"●")*3+COUNTIF(E$5:E$84,"△"))</f>
        <v>29</v>
      </c>
      <c r="BG5" s="576">
        <f>IF(BF5="","",SUM(F$5:F$84)/2)</f>
        <v>56</v>
      </c>
      <c r="BH5" s="576">
        <f>IF(BF5="","",SUM(B$5:B$84))</f>
        <v>5</v>
      </c>
      <c r="BI5" s="574">
        <f>IF(BF5="","",BG5-BH5)</f>
        <v>51</v>
      </c>
      <c r="BJ5" s="595">
        <f>IF(BF5="","",RANK(BK5,BK$5:BK$84))</f>
        <v>1</v>
      </c>
      <c r="BK5" s="47">
        <f>IF(BF5="",-ROW()*10000,BF5*10000+BI5*100+BG5+COUNTIF(B5:BE5,"&gt;=0")/20)</f>
        <v>295156.7</v>
      </c>
      <c r="BL5" s="599">
        <v>1</v>
      </c>
      <c r="BM5" s="1">
        <f>INDEX(結果!BM$6:BN$85,MATCH(BL5,結果!BP$6:BP$85,0),2)</f>
        <v>51</v>
      </c>
    </row>
    <row r="6" spans="1:65" ht="10.5" customHeight="1" x14ac:dyDescent="0.25">
      <c r="A6" s="530"/>
      <c r="B6" s="17"/>
      <c r="C6" s="3"/>
      <c r="D6" s="3"/>
      <c r="E6" s="3"/>
      <c r="F6" s="3"/>
      <c r="G6" s="3"/>
      <c r="H6" s="4"/>
      <c r="I6" s="2"/>
      <c r="J6" s="5"/>
      <c r="K6" s="15">
        <f>IF(INDEX(結果!$C$6:$BL$85,$BM5+1,I$87+2)="","",INDEX(結果!$C$6:$BL$85,$BM5+1,I$87+2))</f>
        <v>1</v>
      </c>
      <c r="L6" s="3" t="s">
        <v>199</v>
      </c>
      <c r="M6" s="16">
        <f>IF(K6="","",INDEX(結果!$C$6:$BL$85,$BM5+1,I$87+4))</f>
        <v>0</v>
      </c>
      <c r="N6" s="6"/>
      <c r="O6" s="4"/>
      <c r="P6" s="2"/>
      <c r="Q6" s="5"/>
      <c r="R6" s="15">
        <f>IF(INDEX(結果!$C$6:$BL$85,$BM5+1,P$87+2)="","",INDEX(結果!$C$6:$BL$85,$BM5+1,P$87+2))</f>
        <v>1</v>
      </c>
      <c r="S6" s="3" t="s">
        <v>199</v>
      </c>
      <c r="T6" s="16">
        <f>IF(R6="","",INDEX(結果!$C$6:$BL$85,$BM5+1,P$87+4))</f>
        <v>1</v>
      </c>
      <c r="U6" s="6"/>
      <c r="V6" s="4"/>
      <c r="W6" s="2"/>
      <c r="X6" s="5"/>
      <c r="Y6" s="15">
        <f>IF(INDEX(結果!$C$6:$BL$85,$BM5+1,W$87+2)="","",INDEX(結果!$C$6:$BL$85,$BM5+1,W$87+2))</f>
        <v>0</v>
      </c>
      <c r="Z6" s="3" t="s">
        <v>199</v>
      </c>
      <c r="AA6" s="16">
        <f>IF(Y6="","",INDEX(結果!$C$6:$BL$85,$BM5+1,W$87+4))</f>
        <v>1</v>
      </c>
      <c r="AB6" s="6"/>
      <c r="AC6" s="4"/>
      <c r="AD6" s="2"/>
      <c r="AE6" s="5"/>
      <c r="AF6" s="15">
        <f>IF(INDEX(結果!$C$6:$BL$85,$BM5+1,AD$87+2)="","",INDEX(結果!$C$6:$BL$85,$BM5+1,AD$87+2))</f>
        <v>2</v>
      </c>
      <c r="AG6" s="3" t="s">
        <v>199</v>
      </c>
      <c r="AH6" s="16">
        <f>IF(AF6="","",INDEX(結果!$C$6:$BL$85,$BM5+1,AD$87+4))</f>
        <v>0</v>
      </c>
      <c r="AI6" s="6"/>
      <c r="AJ6" s="4"/>
      <c r="AK6" s="2"/>
      <c r="AL6" s="5"/>
      <c r="AM6" s="15">
        <f>IF(INDEX(結果!$C$6:$BL$85,$BM5+1,AK$87+2)="","",INDEX(結果!$C$6:$BL$85,$BM5+1,AK$87+2))</f>
        <v>2</v>
      </c>
      <c r="AN6" s="3" t="s">
        <v>199</v>
      </c>
      <c r="AO6" s="16">
        <f>IF(AM6="","",INDEX(結果!$C$6:$BL$85,$BM5+1,AK$87+4))</f>
        <v>0</v>
      </c>
      <c r="AP6" s="6"/>
      <c r="AQ6" s="4"/>
      <c r="AR6" s="2"/>
      <c r="AS6" s="5"/>
      <c r="AT6" s="15">
        <f>IF(INDEX(結果!$C$6:$BL$85,$BM5+1,AR$87+2)="","",INDEX(結果!$C$6:$BL$85,$BM5+1,AR$87+2))</f>
        <v>0</v>
      </c>
      <c r="AU6" s="3" t="s">
        <v>199</v>
      </c>
      <c r="AV6" s="16">
        <f>IF(AT6="","",INDEX(結果!$C$6:$BL$85,$BM5+1,AR$87+4))</f>
        <v>0</v>
      </c>
      <c r="AW6" s="6"/>
      <c r="AX6" s="4"/>
      <c r="AY6" s="2"/>
      <c r="AZ6" s="5"/>
      <c r="BA6" s="15">
        <f>IF(INDEX(結果!$C$6:$BL$85,$BM5+1,AY$87+2)="","",INDEX(結果!$C$6:$BL$85,$BM5+1,AY$87+2))</f>
        <v>3</v>
      </c>
      <c r="BB6" s="3" t="s">
        <v>199</v>
      </c>
      <c r="BC6" s="16">
        <f>IF(BA6="","",INDEX(結果!$C$6:$BL$85,$BM5+1,AY$87+4))</f>
        <v>0</v>
      </c>
      <c r="BD6" s="6"/>
      <c r="BE6" s="4"/>
      <c r="BF6" s="573"/>
      <c r="BG6" s="561"/>
      <c r="BH6" s="561"/>
      <c r="BI6" s="575"/>
      <c r="BJ6" s="570"/>
      <c r="BK6" s="47"/>
      <c r="BL6" s="599"/>
    </row>
    <row r="7" spans="1:65" ht="10.5" customHeight="1" x14ac:dyDescent="0.25">
      <c r="A7" s="530"/>
      <c r="B7" s="17"/>
      <c r="C7" s="3"/>
      <c r="D7" s="3"/>
      <c r="E7" s="3"/>
      <c r="F7" s="3"/>
      <c r="G7" s="3"/>
      <c r="H7" s="4"/>
      <c r="I7" s="2"/>
      <c r="J7" s="7"/>
      <c r="K7" s="15">
        <f>IF(K6="","",INDEX(結果!$C$6:$BL$85,$BM5+2,I$87+2))</f>
        <v>1</v>
      </c>
      <c r="L7" s="3" t="s">
        <v>199</v>
      </c>
      <c r="M7" s="16">
        <f>IF(K7="","",INDEX(結果!$C$6:$BL$85,$BM5+2,I$87+4))</f>
        <v>0</v>
      </c>
      <c r="N7" s="8"/>
      <c r="O7" s="4"/>
      <c r="P7" s="2"/>
      <c r="Q7" s="7"/>
      <c r="R7" s="15">
        <f>IF(R6="","",INDEX(結果!$C$6:$BL$85,$BM5+2,P$87+2))</f>
        <v>4</v>
      </c>
      <c r="S7" s="3" t="s">
        <v>199</v>
      </c>
      <c r="T7" s="16">
        <f>IF(R7="","",INDEX(結果!$C$6:$BL$85,$BM5+2,P$87+4))</f>
        <v>0</v>
      </c>
      <c r="U7" s="8"/>
      <c r="V7" s="4"/>
      <c r="W7" s="2"/>
      <c r="X7" s="7"/>
      <c r="Y7" s="15">
        <f>IF(Y6="","",INDEX(結果!$C$6:$BL$85,$BM5+2,W$87+2))</f>
        <v>1</v>
      </c>
      <c r="Z7" s="3" t="s">
        <v>199</v>
      </c>
      <c r="AA7" s="16">
        <f>IF(Y7="","",INDEX(結果!$C$6:$BL$85,$BM5+2,W$87+4))</f>
        <v>0</v>
      </c>
      <c r="AB7" s="8"/>
      <c r="AC7" s="4"/>
      <c r="AD7" s="2"/>
      <c r="AE7" s="7"/>
      <c r="AF7" s="15">
        <f>IF(AF6="","",INDEX(結果!$C$6:$BL$85,$BM5+2,AD$87+2))</f>
        <v>1</v>
      </c>
      <c r="AG7" s="3" t="s">
        <v>199</v>
      </c>
      <c r="AH7" s="16">
        <f>IF(AF7="","",INDEX(結果!$C$6:$BL$85,$BM5+2,AD$87+4))</f>
        <v>3</v>
      </c>
      <c r="AI7" s="8"/>
      <c r="AJ7" s="4"/>
      <c r="AK7" s="2"/>
      <c r="AL7" s="7"/>
      <c r="AM7" s="15">
        <f>IF(AM6="","",INDEX(結果!$C$6:$BL$85,$BM5+2,AK$87+2))</f>
        <v>1</v>
      </c>
      <c r="AN7" s="3" t="s">
        <v>199</v>
      </c>
      <c r="AO7" s="16">
        <f>IF(AM7="","",INDEX(結果!$C$6:$BL$85,$BM5+2,AK$87+4))</f>
        <v>0</v>
      </c>
      <c r="AP7" s="8"/>
      <c r="AQ7" s="4"/>
      <c r="AR7" s="2"/>
      <c r="AS7" s="7"/>
      <c r="AT7" s="15">
        <f>IF(AT6="","",INDEX(結果!$C$6:$BL$85,$BM5+2,AR$87+2))</f>
        <v>1</v>
      </c>
      <c r="AU7" s="3" t="s">
        <v>199</v>
      </c>
      <c r="AV7" s="16">
        <f>IF(AT7="","",INDEX(結果!$C$6:$BL$85,$BM5+2,AR$87+4))</f>
        <v>0</v>
      </c>
      <c r="AW7" s="8"/>
      <c r="AX7" s="4"/>
      <c r="AY7" s="2"/>
      <c r="AZ7" s="7"/>
      <c r="BA7" s="15">
        <f>IF(BA6="","",INDEX(結果!$C$6:$BL$85,$BM5+2,AY$87+2))</f>
        <v>7</v>
      </c>
      <c r="BB7" s="3" t="s">
        <v>199</v>
      </c>
      <c r="BC7" s="16">
        <f>IF(BA7="","",INDEX(結果!$C$6:$BL$85,$BM5+2,AY$87+4))</f>
        <v>0</v>
      </c>
      <c r="BD7" s="8"/>
      <c r="BE7" s="4"/>
      <c r="BF7" s="573"/>
      <c r="BG7" s="561"/>
      <c r="BH7" s="561"/>
      <c r="BI7" s="575"/>
      <c r="BJ7" s="570"/>
      <c r="BK7" s="47"/>
      <c r="BL7" s="599"/>
    </row>
    <row r="8" spans="1:65" ht="11.25" customHeight="1" x14ac:dyDescent="0.25">
      <c r="A8" s="530"/>
      <c r="B8" s="17"/>
      <c r="C8" s="3"/>
      <c r="D8" s="3"/>
      <c r="E8" s="3"/>
      <c r="F8" s="3"/>
      <c r="G8" s="3"/>
      <c r="H8" s="4"/>
      <c r="I8" s="80"/>
      <c r="J8" s="532" t="str">
        <f>IF(I9="","",INDEX(結果!$C$6:$BL$85,$BM5+3,I$87+1))</f>
        <v>④</v>
      </c>
      <c r="K8" s="532"/>
      <c r="L8" s="546">
        <f>IF(I9="","",INDEX(結果!$C$6:$BL$85,$BM5+3,I$87+3))</f>
        <v>42504</v>
      </c>
      <c r="M8" s="546"/>
      <c r="N8" s="546"/>
      <c r="O8" s="547"/>
      <c r="P8" s="80"/>
      <c r="Q8" s="532" t="str">
        <f>IF(P9="","",INDEX(結果!$C$6:$BL$85,$BM5+3,P$87+1))</f>
        <v>⑥</v>
      </c>
      <c r="R8" s="532"/>
      <c r="S8" s="546">
        <f>IF(P9="","",INDEX(結果!$C$6:$BL$85,$BM5+3,P$87+3))</f>
        <v>42519</v>
      </c>
      <c r="T8" s="546"/>
      <c r="U8" s="546"/>
      <c r="V8" s="547"/>
      <c r="W8" s="80"/>
      <c r="X8" s="532" t="str">
        <f>IF(W9="","",INDEX(結果!$C$6:$BL$85,$BM5+3,W$87+1))</f>
        <v>③</v>
      </c>
      <c r="Y8" s="532"/>
      <c r="Z8" s="546">
        <f>IF(W9="","",INDEX(結果!$C$6:$BL$85,$BM5+3,W$87+3))</f>
        <v>42498</v>
      </c>
      <c r="AA8" s="546"/>
      <c r="AB8" s="546"/>
      <c r="AC8" s="547"/>
      <c r="AD8" s="80"/>
      <c r="AE8" s="532" t="str">
        <f>IF(AD9="","",INDEX(結果!$C$6:$BL$85,$BM5+3,AD$87+1))</f>
        <v>⑦</v>
      </c>
      <c r="AF8" s="532"/>
      <c r="AG8" s="546">
        <f>IF(AD9="","",INDEX(結果!$C$6:$BL$85,$BM5+3,AD$87+3))</f>
        <v>42546</v>
      </c>
      <c r="AH8" s="546"/>
      <c r="AI8" s="546"/>
      <c r="AJ8" s="547"/>
      <c r="AK8" s="80"/>
      <c r="AL8" s="532" t="str">
        <f>IF(AK9="","",INDEX(結果!$C$6:$BL$85,$BM5+3,AK$87+1))</f>
        <v>⑦</v>
      </c>
      <c r="AM8" s="532"/>
      <c r="AN8" s="546">
        <f>IF(AK9="","",INDEX(結果!$C$6:$BL$85,$BM5+3,AK$87+3))</f>
        <v>42554</v>
      </c>
      <c r="AO8" s="546"/>
      <c r="AP8" s="546"/>
      <c r="AQ8" s="547"/>
      <c r="AR8" s="80"/>
      <c r="AS8" s="532" t="str">
        <f>IF(AR9="","",INDEX(結果!$C$6:$BL$85,$BM5+3,AR$87+1))</f>
        <v>①</v>
      </c>
      <c r="AT8" s="532"/>
      <c r="AU8" s="546">
        <f>IF(AR9="","",INDEX(結果!$C$6:$BL$85,$BM5+3,AR$87+3))</f>
        <v>42489</v>
      </c>
      <c r="AV8" s="546"/>
      <c r="AW8" s="546"/>
      <c r="AX8" s="547"/>
      <c r="AY8" s="80"/>
      <c r="AZ8" s="532" t="str">
        <f>IF(AY9="","",INDEX(結果!$C$6:$BL$85,$BM5+3,AY$87+1))</f>
        <v>②</v>
      </c>
      <c r="BA8" s="532"/>
      <c r="BB8" s="546">
        <f>IF(AY9="","",INDEX(結果!$C$6:$BL$85,$BM5+3,AY$87+3))</f>
        <v>42491</v>
      </c>
      <c r="BC8" s="546"/>
      <c r="BD8" s="546"/>
      <c r="BE8" s="547"/>
      <c r="BF8" s="573"/>
      <c r="BG8" s="561"/>
      <c r="BH8" s="561"/>
      <c r="BI8" s="575"/>
      <c r="BJ8" s="570"/>
      <c r="BK8" s="47"/>
      <c r="BL8" s="599"/>
    </row>
    <row r="9" spans="1:65" ht="11.25" customHeight="1" x14ac:dyDescent="0.25">
      <c r="A9" s="530"/>
      <c r="B9" s="17"/>
      <c r="C9" s="3"/>
      <c r="D9" s="3"/>
      <c r="E9" s="3"/>
      <c r="F9" s="3"/>
      <c r="G9" s="3"/>
      <c r="H9" s="4"/>
      <c r="I9" s="543" t="str">
        <f>IF(INDEX(結果!$C$6:$BL$85,$BM5+4,I$87)="","",INDEX(結果!$C$6:$BL$85,$BM5+4,I$87))</f>
        <v>金沢交流</v>
      </c>
      <c r="J9" s="534"/>
      <c r="K9" s="534"/>
      <c r="L9" s="534"/>
      <c r="M9" s="534"/>
      <c r="N9" s="534"/>
      <c r="O9" s="535"/>
      <c r="P9" s="548" t="str">
        <f>IF(INDEX(結果!$C$6:$BL$85,$BM5+4,P$87)="","",INDEX(結果!$C$6:$BL$85,$BM5+4,P$87))</f>
        <v>星稜ｻｯｶｰ場</v>
      </c>
      <c r="Q9" s="532"/>
      <c r="R9" s="532"/>
      <c r="S9" s="532"/>
      <c r="T9" s="532"/>
      <c r="U9" s="532"/>
      <c r="V9" s="539"/>
      <c r="W9" s="548" t="str">
        <f>IF(INDEX(結果!$C$6:$BL$85,$BM5+4,W$87)="","",INDEX(結果!$C$6:$BL$85,$BM5+4,W$87))</f>
        <v>和倉Ａ</v>
      </c>
      <c r="X9" s="532"/>
      <c r="Y9" s="532"/>
      <c r="Z9" s="532"/>
      <c r="AA9" s="532"/>
      <c r="AB9" s="532"/>
      <c r="AC9" s="539"/>
      <c r="AD9" s="548" t="str">
        <f>IF(INDEX(結果!$C$6:$BL$85,$BM5+4,AD$87)="","",INDEX(結果!$C$6:$BL$85,$BM5+4,AD$87))</f>
        <v>能登島Ｂ</v>
      </c>
      <c r="AE9" s="532"/>
      <c r="AF9" s="532"/>
      <c r="AG9" s="532"/>
      <c r="AH9" s="532"/>
      <c r="AI9" s="532"/>
      <c r="AJ9" s="539"/>
      <c r="AK9" s="548" t="str">
        <f>IF(INDEX(結果!$C$6:$BL$85,$BM5+4,AK$87)="","",INDEX(結果!$C$6:$BL$85,$BM5+4,AK$87))</f>
        <v>加賀陸上</v>
      </c>
      <c r="AL9" s="532"/>
      <c r="AM9" s="532"/>
      <c r="AN9" s="532"/>
      <c r="AO9" s="532"/>
      <c r="AP9" s="532"/>
      <c r="AQ9" s="539"/>
      <c r="AR9" s="548" t="str">
        <f>IF(INDEX(結果!$C$6:$BL$85,$BM5+4,AR$87)="","",INDEX(結果!$C$6:$BL$85,$BM5+4,AR$87))</f>
        <v>星稜ｻｯｶｰ場</v>
      </c>
      <c r="AS9" s="532"/>
      <c r="AT9" s="532"/>
      <c r="AU9" s="532"/>
      <c r="AV9" s="532"/>
      <c r="AW9" s="532"/>
      <c r="AX9" s="539"/>
      <c r="AY9" s="548" t="str">
        <f>IF(INDEX(結果!$C$6:$BL$85,$BM5+4,AY$87)="","",INDEX(結果!$C$6:$BL$85,$BM5+4,AY$87))</f>
        <v>能登島Ｂ</v>
      </c>
      <c r="AZ9" s="532"/>
      <c r="BA9" s="532"/>
      <c r="BB9" s="532"/>
      <c r="BC9" s="532"/>
      <c r="BD9" s="532"/>
      <c r="BE9" s="539"/>
      <c r="BF9" s="573"/>
      <c r="BG9" s="561"/>
      <c r="BH9" s="561"/>
      <c r="BI9" s="575"/>
      <c r="BJ9" s="570"/>
      <c r="BK9" s="47"/>
      <c r="BL9" s="599"/>
    </row>
    <row r="10" spans="1:65" ht="11.25" customHeight="1" x14ac:dyDescent="0.25">
      <c r="A10" s="530"/>
      <c r="B10" s="17"/>
      <c r="C10" s="3"/>
      <c r="D10" s="3"/>
      <c r="E10" s="3"/>
      <c r="F10" s="3"/>
      <c r="G10" s="3"/>
      <c r="H10" s="4"/>
      <c r="I10" s="544" t="str">
        <f>IF(K12="","",K11+K12)</f>
        <v/>
      </c>
      <c r="J10" s="537"/>
      <c r="K10" s="537"/>
      <c r="L10" s="9" t="str">
        <f>IF(K12="","",IF(I10=M10,"△",IF(I10&gt;M10,"○","●")))</f>
        <v/>
      </c>
      <c r="M10" s="537" t="str">
        <f>IF(M12="","",M11+M12)</f>
        <v/>
      </c>
      <c r="N10" s="537"/>
      <c r="O10" s="542"/>
      <c r="P10" s="544">
        <f>IF(R12="","",R11+R12)</f>
        <v>2</v>
      </c>
      <c r="Q10" s="537"/>
      <c r="R10" s="537"/>
      <c r="S10" s="9" t="str">
        <f>IF(R12="","",IF(P10=T10,"△",IF(P10&gt;T10,"○","●")))</f>
        <v>○</v>
      </c>
      <c r="T10" s="537">
        <f>IF(T12="","",T11+T12)</f>
        <v>0</v>
      </c>
      <c r="U10" s="537"/>
      <c r="V10" s="542"/>
      <c r="W10" s="544" t="str">
        <f>IF(Y12="","",Y11+Y12)</f>
        <v/>
      </c>
      <c r="X10" s="537"/>
      <c r="Y10" s="537"/>
      <c r="Z10" s="9" t="str">
        <f>IF(Y12="","",IF(W10=AA10,"△",IF(W10&gt;AA10,"○","●")))</f>
        <v/>
      </c>
      <c r="AA10" s="537" t="str">
        <f>IF(AA12="","",AA11+AA12)</f>
        <v/>
      </c>
      <c r="AB10" s="537"/>
      <c r="AC10" s="542"/>
      <c r="AD10" s="544">
        <f>IF(AF12="","",AF11+AF12)</f>
        <v>9</v>
      </c>
      <c r="AE10" s="537"/>
      <c r="AF10" s="537"/>
      <c r="AG10" s="9" t="str">
        <f>IF(AF12="","",IF(AD10=AH10,"△",IF(AD10&gt;AH10,"○","●")))</f>
        <v>○</v>
      </c>
      <c r="AH10" s="537">
        <f>IF(AH12="","",AH11+AH12)</f>
        <v>0</v>
      </c>
      <c r="AI10" s="537"/>
      <c r="AJ10" s="542"/>
      <c r="AK10" s="544" t="str">
        <f>IF(AM12="","",AM11+AM12)</f>
        <v/>
      </c>
      <c r="AL10" s="537"/>
      <c r="AM10" s="537"/>
      <c r="AN10" s="9" t="str">
        <f>IF(AM12="","",IF(AK10=AO10,"△",IF(AK10&gt;AO10,"○","●")))</f>
        <v/>
      </c>
      <c r="AO10" s="537" t="str">
        <f>IF(AO12="","",AO11+AO12)</f>
        <v/>
      </c>
      <c r="AP10" s="537"/>
      <c r="AQ10" s="542"/>
      <c r="AR10" s="544">
        <f>IF(AT12="","",AT11+AT12)</f>
        <v>4</v>
      </c>
      <c r="AS10" s="537"/>
      <c r="AT10" s="537"/>
      <c r="AU10" s="9" t="str">
        <f>IF(AT12="","",IF(AR10=AV10,"△",IF(AR10&gt;AV10,"○","●")))</f>
        <v>○</v>
      </c>
      <c r="AV10" s="537">
        <f>IF(AV12="","",AV11+AV12)</f>
        <v>0</v>
      </c>
      <c r="AW10" s="537"/>
      <c r="AX10" s="542"/>
      <c r="AY10" s="544">
        <f>IF(BA12="","",BA11+BA12)</f>
        <v>16</v>
      </c>
      <c r="AZ10" s="537"/>
      <c r="BA10" s="537"/>
      <c r="BB10" s="9" t="str">
        <f>IF(BA12="","",IF(AY10=BC10,"△",IF(AY10&gt;BC10,"○","●")))</f>
        <v>○</v>
      </c>
      <c r="BC10" s="537">
        <f>IF(BC12="","",BC11+BC12)</f>
        <v>0</v>
      </c>
      <c r="BD10" s="537"/>
      <c r="BE10" s="542"/>
      <c r="BF10" s="573"/>
      <c r="BG10" s="561"/>
      <c r="BH10" s="561"/>
      <c r="BI10" s="575"/>
      <c r="BJ10" s="570"/>
      <c r="BK10" s="47"/>
      <c r="BL10" s="599"/>
    </row>
    <row r="11" spans="1:65" ht="11.25" customHeight="1" x14ac:dyDescent="0.25">
      <c r="A11" s="530"/>
      <c r="B11" s="3"/>
      <c r="C11" s="3"/>
      <c r="D11" s="3"/>
      <c r="E11" s="3"/>
      <c r="F11" s="3"/>
      <c r="G11" s="3"/>
      <c r="H11" s="4"/>
      <c r="I11" s="2"/>
      <c r="J11" s="5"/>
      <c r="K11" s="15" t="str">
        <f>IF(INDEX(結果!$C$6:$BL$85,$BM5+6,I$87+2)="","",INDEX(結果!$C$6:$BL$85,$BM5+6,I$87+2))</f>
        <v/>
      </c>
      <c r="L11" s="3" t="s">
        <v>199</v>
      </c>
      <c r="M11" s="16" t="str">
        <f>IF(K11="","",INDEX(結果!$C$6:$BL$85,$BM5+6,I$87+4))</f>
        <v/>
      </c>
      <c r="N11" s="6"/>
      <c r="O11" s="4"/>
      <c r="P11" s="2"/>
      <c r="Q11" s="5"/>
      <c r="R11" s="15">
        <f>IF(INDEX(結果!$C$6:$BL$85,$BM5+6,P$87+2)="","",INDEX(結果!$C$6:$BL$85,$BM5+6,P$87+2))</f>
        <v>1</v>
      </c>
      <c r="S11" s="3" t="s">
        <v>199</v>
      </c>
      <c r="T11" s="16">
        <f>IF(R11="","",INDEX(結果!$C$6:$BL$85,$BM5+6,P$87+4))</f>
        <v>0</v>
      </c>
      <c r="U11" s="6"/>
      <c r="V11" s="4"/>
      <c r="W11" s="2"/>
      <c r="X11" s="5"/>
      <c r="Y11" s="15" t="str">
        <f>IF(INDEX(結果!$C$6:$BL$85,$BM5+6,W$87+2)="","",INDEX(結果!$C$6:$BL$85,$BM5+6,W$87+2))</f>
        <v/>
      </c>
      <c r="Z11" s="3" t="s">
        <v>199</v>
      </c>
      <c r="AA11" s="16" t="str">
        <f>IF(Y11="","",INDEX(結果!$C$6:$BL$85,$BM5+6,W$87+4))</f>
        <v/>
      </c>
      <c r="AB11" s="6"/>
      <c r="AC11" s="4"/>
      <c r="AD11" s="2"/>
      <c r="AE11" s="5"/>
      <c r="AF11" s="15">
        <f>IF(INDEX(結果!$C$6:$BL$85,$BM5+6,AD$87+2)="","",INDEX(結果!$C$6:$BL$85,$BM5+6,AD$87+2))</f>
        <v>2</v>
      </c>
      <c r="AG11" s="3" t="s">
        <v>199</v>
      </c>
      <c r="AH11" s="16">
        <f>IF(AF11="","",INDEX(結果!$C$6:$BL$85,$BM5+6,AD$87+4))</f>
        <v>0</v>
      </c>
      <c r="AI11" s="6"/>
      <c r="AJ11" s="4"/>
      <c r="AK11" s="2"/>
      <c r="AL11" s="5"/>
      <c r="AM11" s="15" t="str">
        <f>IF(INDEX(結果!$C$6:$BL$85,$BM5+6,AK$87+2)="","",INDEX(結果!$C$6:$BL$85,$BM5+6,AK$87+2))</f>
        <v/>
      </c>
      <c r="AN11" s="3" t="s">
        <v>199</v>
      </c>
      <c r="AO11" s="16" t="str">
        <f>IF(AM11="","",INDEX(結果!$C$6:$BL$85,$BM5+6,AK$87+4))</f>
        <v/>
      </c>
      <c r="AP11" s="6"/>
      <c r="AQ11" s="4"/>
      <c r="AR11" s="2"/>
      <c r="AS11" s="5"/>
      <c r="AT11" s="15">
        <f>IF(INDEX(結果!$C$6:$BL$85,$BM5+6,AR$87+2)="","",INDEX(結果!$C$6:$BL$85,$BM5+6,AR$87+2))</f>
        <v>1</v>
      </c>
      <c r="AU11" s="3" t="s">
        <v>199</v>
      </c>
      <c r="AV11" s="16">
        <f>IF(AT11="","",INDEX(結果!$C$6:$BL$85,$BM5+6,AR$87+4))</f>
        <v>0</v>
      </c>
      <c r="AW11" s="6"/>
      <c r="AX11" s="4"/>
      <c r="AY11" s="2"/>
      <c r="AZ11" s="5"/>
      <c r="BA11" s="15">
        <f>IF(INDEX(結果!$C$6:$BL$85,$BM5+6,AY$87+2)="","",INDEX(結果!$C$6:$BL$85,$BM5+6,AY$87+2))</f>
        <v>4</v>
      </c>
      <c r="BB11" s="3" t="s">
        <v>199</v>
      </c>
      <c r="BC11" s="16">
        <f>IF(BA11="","",INDEX(結果!$C$6:$BL$85,$BM5+6,AY$87+4))</f>
        <v>0</v>
      </c>
      <c r="BD11" s="6"/>
      <c r="BE11" s="4"/>
      <c r="BF11" s="573"/>
      <c r="BG11" s="561"/>
      <c r="BH11" s="561"/>
      <c r="BI11" s="575"/>
      <c r="BJ11" s="570"/>
      <c r="BK11" s="47"/>
      <c r="BL11" s="599"/>
    </row>
    <row r="12" spans="1:65" ht="11.25" customHeight="1" x14ac:dyDescent="0.25">
      <c r="A12" s="530"/>
      <c r="B12" s="3"/>
      <c r="C12" s="3"/>
      <c r="D12" s="3"/>
      <c r="E12" s="3"/>
      <c r="F12" s="3"/>
      <c r="G12" s="3"/>
      <c r="H12" s="4"/>
      <c r="I12" s="2"/>
      <c r="J12" s="7"/>
      <c r="K12" s="15" t="str">
        <f>IF(K11="","",INDEX(結果!$C$6:$BL$85,$BM5+7,I$87+2))</f>
        <v/>
      </c>
      <c r="L12" s="3" t="s">
        <v>199</v>
      </c>
      <c r="M12" s="16" t="str">
        <f>IF(K12="","",INDEX(結果!$C$6:$BL$85,$BM5+7,I$87+4))</f>
        <v/>
      </c>
      <c r="N12" s="8"/>
      <c r="O12" s="4"/>
      <c r="P12" s="2"/>
      <c r="Q12" s="7"/>
      <c r="R12" s="15">
        <f>IF(R11="","",INDEX(結果!$C$6:$BL$85,$BM5+7,P$87+2))</f>
        <v>1</v>
      </c>
      <c r="S12" s="3" t="s">
        <v>199</v>
      </c>
      <c r="T12" s="16">
        <f>IF(R12="","",INDEX(結果!$C$6:$BL$85,$BM5+7,P$87+4))</f>
        <v>0</v>
      </c>
      <c r="U12" s="8"/>
      <c r="V12" s="4"/>
      <c r="W12" s="2"/>
      <c r="X12" s="7"/>
      <c r="Y12" s="15" t="str">
        <f>IF(Y11="","",INDEX(結果!$C$6:$BL$85,$BM5+7,W$87+2))</f>
        <v/>
      </c>
      <c r="Z12" s="3" t="s">
        <v>199</v>
      </c>
      <c r="AA12" s="16" t="str">
        <f>IF(Y12="","",INDEX(結果!$C$6:$BL$85,$BM5+7,W$87+4))</f>
        <v/>
      </c>
      <c r="AB12" s="8"/>
      <c r="AC12" s="4"/>
      <c r="AD12" s="2"/>
      <c r="AE12" s="7"/>
      <c r="AF12" s="15">
        <f>IF(AF11="","",INDEX(結果!$C$6:$BL$85,$BM5+7,AD$87+2))</f>
        <v>7</v>
      </c>
      <c r="AG12" s="3" t="s">
        <v>199</v>
      </c>
      <c r="AH12" s="16">
        <f>IF(AF12="","",INDEX(結果!$C$6:$BL$85,$BM5+7,AD$87+4))</f>
        <v>0</v>
      </c>
      <c r="AI12" s="8"/>
      <c r="AJ12" s="4"/>
      <c r="AK12" s="2"/>
      <c r="AL12" s="7"/>
      <c r="AM12" s="15" t="str">
        <f>IF(AM11="","",INDEX(結果!$C$6:$BL$85,$BM5+7,AK$87+2))</f>
        <v/>
      </c>
      <c r="AN12" s="3" t="s">
        <v>199</v>
      </c>
      <c r="AO12" s="16" t="str">
        <f>IF(AM12="","",INDEX(結果!$C$6:$BL$85,$BM5+7,AK$87+4))</f>
        <v/>
      </c>
      <c r="AP12" s="8"/>
      <c r="AQ12" s="4"/>
      <c r="AR12" s="2"/>
      <c r="AS12" s="7"/>
      <c r="AT12" s="15">
        <f>IF(AT11="","",INDEX(結果!$C$6:$BL$85,$BM5+7,AR$87+2))</f>
        <v>3</v>
      </c>
      <c r="AU12" s="3" t="s">
        <v>199</v>
      </c>
      <c r="AV12" s="16">
        <f>IF(AT12="","",INDEX(結果!$C$6:$BL$85,$BM5+7,AR$87+4))</f>
        <v>0</v>
      </c>
      <c r="AW12" s="8"/>
      <c r="AX12" s="4"/>
      <c r="AY12" s="2"/>
      <c r="AZ12" s="7"/>
      <c r="BA12" s="15">
        <f>IF(BA11="","",INDEX(結果!$C$6:$BL$85,$BM5+7,AY$87+2))</f>
        <v>12</v>
      </c>
      <c r="BB12" s="3" t="s">
        <v>199</v>
      </c>
      <c r="BC12" s="16">
        <f>IF(BA12="","",INDEX(結果!$C$6:$BL$85,$BM5+7,AY$87+4))</f>
        <v>0</v>
      </c>
      <c r="BD12" s="8"/>
      <c r="BE12" s="4"/>
      <c r="BF12" s="573"/>
      <c r="BG12" s="561"/>
      <c r="BH12" s="561"/>
      <c r="BI12" s="575"/>
      <c r="BJ12" s="570"/>
      <c r="BK12" s="47"/>
      <c r="BL12" s="599"/>
    </row>
    <row r="13" spans="1:65" ht="11.25" customHeight="1" x14ac:dyDescent="0.25">
      <c r="A13" s="530"/>
      <c r="B13" s="3"/>
      <c r="C13" s="3"/>
      <c r="D13" s="3"/>
      <c r="E13" s="3"/>
      <c r="F13" s="3"/>
      <c r="G13" s="3"/>
      <c r="H13" s="4"/>
      <c r="I13" s="80"/>
      <c r="J13" s="532" t="str">
        <f>IF(I14="","",INDEX(結果!$C$6:$BL$85,$BM5+8,I$87+1))</f>
        <v>②</v>
      </c>
      <c r="K13" s="532"/>
      <c r="L13" s="546">
        <f>IF(I14="","",INDEX(結果!$C$6:$BL$85,$BM5+8,I$87+3))</f>
        <v>42677</v>
      </c>
      <c r="M13" s="546"/>
      <c r="N13" s="546"/>
      <c r="O13" s="547"/>
      <c r="P13" s="80"/>
      <c r="Q13" s="532" t="str">
        <f>IF(P14="","",INDEX(結果!$C$6:$BL$85,$BM5+8,P$87+1))</f>
        <v>⑧</v>
      </c>
      <c r="R13" s="532"/>
      <c r="S13" s="546">
        <f>IF(P14="","",INDEX(結果!$C$6:$BL$85,$BM5+8,P$87+3))</f>
        <v>42574</v>
      </c>
      <c r="T13" s="546"/>
      <c r="U13" s="546"/>
      <c r="V13" s="547"/>
      <c r="W13" s="80"/>
      <c r="X13" s="532" t="str">
        <f>IF(W14="","",INDEX(結果!$C$6:$BL$85,$BM5+8,W$87+1))</f>
        <v>②</v>
      </c>
      <c r="Y13" s="532"/>
      <c r="Z13" s="546">
        <f>IF(W14="","",INDEX(結果!$C$6:$BL$85,$BM5+8,W$87+3))</f>
        <v>42673</v>
      </c>
      <c r="AA13" s="546"/>
      <c r="AB13" s="546"/>
      <c r="AC13" s="547"/>
      <c r="AD13" s="80"/>
      <c r="AE13" s="532" t="str">
        <f>IF(AD14="","",INDEX(結果!$C$6:$BL$85,$BM5+8,AD$87+1))</f>
        <v>⑨</v>
      </c>
      <c r="AF13" s="532"/>
      <c r="AG13" s="546">
        <f>IF(AD14="","",INDEX(結果!$C$6:$BL$85,$BM5+8,AD$87+3))</f>
        <v>42581</v>
      </c>
      <c r="AH13" s="546"/>
      <c r="AI13" s="546"/>
      <c r="AJ13" s="547"/>
      <c r="AK13" s="80"/>
      <c r="AL13" s="532" t="str">
        <f>IF(AK14="","",INDEX(結果!$C$6:$BL$85,$BM5+8,AK$87+1))</f>
        <v>②</v>
      </c>
      <c r="AM13" s="532"/>
      <c r="AN13" s="546">
        <f>IF(AK14="","",INDEX(結果!$C$6:$BL$85,$BM5+8,AK$87+3))</f>
        <v>42659</v>
      </c>
      <c r="AO13" s="546"/>
      <c r="AP13" s="546"/>
      <c r="AQ13" s="547"/>
      <c r="AR13" s="80"/>
      <c r="AS13" s="532" t="str">
        <f>IF(AR14="","",INDEX(結果!$C$6:$BL$85,$BM5+8,AR$87+1))</f>
        <v>⑨</v>
      </c>
      <c r="AT13" s="532"/>
      <c r="AU13" s="546">
        <f>IF(AR14="","",INDEX(結果!$C$6:$BL$85,$BM5+8,AR$87+3))</f>
        <v>42588</v>
      </c>
      <c r="AV13" s="546"/>
      <c r="AW13" s="546"/>
      <c r="AX13" s="547"/>
      <c r="AY13" s="80"/>
      <c r="AZ13" s="532" t="str">
        <f>IF(AY14="","",INDEX(結果!$C$6:$BL$85,$BM5+8,AY$87+1))</f>
        <v>②</v>
      </c>
      <c r="BA13" s="532"/>
      <c r="BB13" s="546">
        <f>IF(AY14="","",INDEX(結果!$C$6:$BL$85,$BM5+8,AY$87+3))</f>
        <v>42645</v>
      </c>
      <c r="BC13" s="546"/>
      <c r="BD13" s="546"/>
      <c r="BE13" s="547"/>
      <c r="BF13" s="573"/>
      <c r="BG13" s="561"/>
      <c r="BH13" s="561"/>
      <c r="BI13" s="575"/>
      <c r="BJ13" s="570"/>
      <c r="BK13" s="47"/>
      <c r="BL13" s="599"/>
    </row>
    <row r="14" spans="1:65" ht="11.25" customHeight="1" x14ac:dyDescent="0.25">
      <c r="A14" s="530"/>
      <c r="B14" s="3"/>
      <c r="C14" s="3"/>
      <c r="D14" s="3"/>
      <c r="E14" s="3"/>
      <c r="F14" s="3"/>
      <c r="G14" s="3"/>
      <c r="H14" s="4"/>
      <c r="I14" s="543" t="str">
        <f>IF(INDEX(結果!$C$6:$BL$85,$BM5+9,I$87)="","",INDEX(結果!$C$6:$BL$85,$BM5+9,I$87))</f>
        <v>金沢市民</v>
      </c>
      <c r="J14" s="534"/>
      <c r="K14" s="534"/>
      <c r="L14" s="534"/>
      <c r="M14" s="534"/>
      <c r="N14" s="534"/>
      <c r="O14" s="535"/>
      <c r="P14" s="548" t="str">
        <f>IF(INDEX(結果!$C$6:$BL$85,$BM5+9,P$87)="","",INDEX(結果!$C$6:$BL$85,$BM5+9,P$87))</f>
        <v>北陸大FPB</v>
      </c>
      <c r="Q14" s="532"/>
      <c r="R14" s="532"/>
      <c r="S14" s="532"/>
      <c r="T14" s="532"/>
      <c r="U14" s="532"/>
      <c r="V14" s="539"/>
      <c r="W14" s="548" t="str">
        <f>IF(INDEX(結果!$C$6:$BL$85,$BM5+9,W$87)="","",INDEX(結果!$C$6:$BL$85,$BM5+9,W$87))</f>
        <v>星稜ｻｯｶｰ場</v>
      </c>
      <c r="X14" s="532"/>
      <c r="Y14" s="532"/>
      <c r="Z14" s="532"/>
      <c r="AA14" s="532"/>
      <c r="AB14" s="532"/>
      <c r="AC14" s="539"/>
      <c r="AD14" s="548" t="str">
        <f>IF(INDEX(結果!$C$6:$BL$85,$BM5+9,AD$87)="","",INDEX(結果!$C$6:$BL$85,$BM5+9,AD$87))</f>
        <v>金沢市民</v>
      </c>
      <c r="AE14" s="532"/>
      <c r="AF14" s="532"/>
      <c r="AG14" s="532"/>
      <c r="AH14" s="532"/>
      <c r="AI14" s="532"/>
      <c r="AJ14" s="539"/>
      <c r="AK14" s="548" t="str">
        <f>IF(INDEX(結果!$C$6:$BL$85,$BM5+9,AK$87)="","",INDEX(結果!$C$6:$BL$85,$BM5+9,AK$87))</f>
        <v>かほく市S</v>
      </c>
      <c r="AL14" s="532"/>
      <c r="AM14" s="532"/>
      <c r="AN14" s="532"/>
      <c r="AO14" s="532"/>
      <c r="AP14" s="532"/>
      <c r="AQ14" s="539"/>
      <c r="AR14" s="548" t="str">
        <f>IF(INDEX(結果!$C$6:$BL$85,$BM5+9,AR$87)="","",INDEX(結果!$C$6:$BL$85,$BM5+9,AR$87))</f>
        <v>金沢交流</v>
      </c>
      <c r="AS14" s="532"/>
      <c r="AT14" s="532"/>
      <c r="AU14" s="532"/>
      <c r="AV14" s="532"/>
      <c r="AW14" s="532"/>
      <c r="AX14" s="539"/>
      <c r="AY14" s="548" t="str">
        <f>IF(INDEX(結果!$C$6:$BL$85,$BM5+9,AY$87)="","",INDEX(結果!$C$6:$BL$85,$BM5+9,AY$87))</f>
        <v>かほく市S</v>
      </c>
      <c r="AZ14" s="532"/>
      <c r="BA14" s="532"/>
      <c r="BB14" s="532"/>
      <c r="BC14" s="532"/>
      <c r="BD14" s="532"/>
      <c r="BE14" s="539"/>
      <c r="BF14" s="573"/>
      <c r="BG14" s="561"/>
      <c r="BH14" s="561"/>
      <c r="BI14" s="575"/>
      <c r="BJ14" s="570"/>
      <c r="BK14" s="47"/>
      <c r="BL14" s="599"/>
    </row>
    <row r="15" spans="1:65" ht="11.25" customHeight="1" x14ac:dyDescent="0.25">
      <c r="A15" s="529" t="str">
        <f>INDEX(結果!$B$6:$BL$85,MATCH($BL15,結果!BP$6:BP$85,0),1)</f>
        <v>ツエーゲン
金沢U-15
1st</v>
      </c>
      <c r="B15" s="536">
        <f>IF(D17="","",D16+D17)</f>
        <v>0</v>
      </c>
      <c r="C15" s="537"/>
      <c r="D15" s="537"/>
      <c r="E15" s="9" t="str">
        <f>IF(D17="","",IF(B15=F15,"△",IF(B15&gt;F15,"○","●")))</f>
        <v>●</v>
      </c>
      <c r="F15" s="537">
        <f>IF(F17="","",F16+F17)</f>
        <v>2</v>
      </c>
      <c r="G15" s="537"/>
      <c r="H15" s="542"/>
      <c r="I15" s="2"/>
      <c r="J15" s="3"/>
      <c r="K15" s="3"/>
      <c r="L15" s="3"/>
      <c r="M15" s="3"/>
      <c r="N15" s="3"/>
      <c r="O15" s="4"/>
      <c r="P15" s="544">
        <f>IF(R17="","",R16+R17)</f>
        <v>5</v>
      </c>
      <c r="Q15" s="537"/>
      <c r="R15" s="537"/>
      <c r="S15" s="9" t="str">
        <f>IF(R17="","",IF(P15=T15,"△",IF(P15&gt;T15,"○","●")))</f>
        <v>○</v>
      </c>
      <c r="T15" s="537">
        <f>IF(T17="","",T16+T17)</f>
        <v>0</v>
      </c>
      <c r="U15" s="537"/>
      <c r="V15" s="542"/>
      <c r="W15" s="544">
        <f>IF(Y17="","",Y16+Y17)</f>
        <v>1</v>
      </c>
      <c r="X15" s="537"/>
      <c r="Y15" s="537"/>
      <c r="Z15" s="9" t="str">
        <f>IF(Y17="","",IF(W15=AA15,"△",IF(W15&gt;AA15,"○","●")))</f>
        <v>△</v>
      </c>
      <c r="AA15" s="537">
        <f>IF(AA17="","",AA16+AA17)</f>
        <v>1</v>
      </c>
      <c r="AB15" s="537"/>
      <c r="AC15" s="542"/>
      <c r="AD15" s="544">
        <f>IF(AF17="","",AF16+AF17)</f>
        <v>1</v>
      </c>
      <c r="AE15" s="537"/>
      <c r="AF15" s="537"/>
      <c r="AG15" s="9" t="str">
        <f>IF(AF17="","",IF(AD15=AH15,"△",IF(AD15&gt;AH15,"○","●")))</f>
        <v>○</v>
      </c>
      <c r="AH15" s="537">
        <f>IF(AH17="","",AH16+AH17)</f>
        <v>0</v>
      </c>
      <c r="AI15" s="537"/>
      <c r="AJ15" s="542"/>
      <c r="AK15" s="544">
        <f>IF(AM17="","",AM16+AM17)</f>
        <v>7</v>
      </c>
      <c r="AL15" s="537"/>
      <c r="AM15" s="537"/>
      <c r="AN15" s="9" t="str">
        <f>IF(AM17="","",IF(AK15=AO15,"△",IF(AK15&gt;AO15,"○","●")))</f>
        <v>○</v>
      </c>
      <c r="AO15" s="537">
        <f>IF(AO17="","",AO16+AO17)</f>
        <v>0</v>
      </c>
      <c r="AP15" s="537"/>
      <c r="AQ15" s="542"/>
      <c r="AR15" s="544">
        <f>IF(AT17="","",AT16+AT17)</f>
        <v>10</v>
      </c>
      <c r="AS15" s="537"/>
      <c r="AT15" s="537"/>
      <c r="AU15" s="9" t="str">
        <f>IF(AT17="","",IF(AR15=AV15,"△",IF(AR15&gt;AV15,"○","●")))</f>
        <v>○</v>
      </c>
      <c r="AV15" s="537">
        <f>IF(AV17="","",AV16+AV17)</f>
        <v>0</v>
      </c>
      <c r="AW15" s="537"/>
      <c r="AX15" s="542"/>
      <c r="AY15" s="544">
        <f>IF(BA17="","",BA16+BA17)</f>
        <v>8</v>
      </c>
      <c r="AZ15" s="537"/>
      <c r="BA15" s="537"/>
      <c r="BB15" s="9" t="str">
        <f>IF(BA17="","",IF(AY15=BC15,"△",IF(AY15&gt;BC15,"○","●")))</f>
        <v>○</v>
      </c>
      <c r="BC15" s="537">
        <f>IF(BC17="","",BC16+BC17)</f>
        <v>1</v>
      </c>
      <c r="BD15" s="537"/>
      <c r="BE15" s="566"/>
      <c r="BF15" s="588">
        <f>IF(COUNT(B16:BE16)=0,"",COUNTIF(L$5:L$84,"●")*3+COUNTIF(L$5:L$84,"△"))</f>
        <v>28</v>
      </c>
      <c r="BG15" s="560">
        <f>IF(BF15="","",SUM(M$5:M$84)/2)</f>
        <v>48</v>
      </c>
      <c r="BH15" s="560">
        <f>IF(BF15="","",SUM(I$5:I$84))</f>
        <v>5</v>
      </c>
      <c r="BI15" s="583">
        <f>IF(BF15="","",BG15-BH15)</f>
        <v>43</v>
      </c>
      <c r="BJ15" s="569">
        <f>IF(BF15="","",RANK(BK15,BK$5:BK$84))</f>
        <v>2</v>
      </c>
      <c r="BK15" s="47">
        <f>IF(BF15="",-ROW()*10000,BF15*10000+BI15*100+BG15+COUNTIF(B15:BE15,"&gt;=0")/20)</f>
        <v>284348.7</v>
      </c>
      <c r="BL15" s="599">
        <v>2</v>
      </c>
      <c r="BM15" s="1">
        <f>INDEX(結果!BM$6:BN$85,MATCH(BL15,結果!BP$6:BP$85,0),2)</f>
        <v>1</v>
      </c>
    </row>
    <row r="16" spans="1:65" ht="10.5" customHeight="1" x14ac:dyDescent="0.25">
      <c r="A16" s="530"/>
      <c r="B16" s="17"/>
      <c r="C16" s="5"/>
      <c r="D16" s="15">
        <f>IF(M6="","",M6)</f>
        <v>0</v>
      </c>
      <c r="E16" s="3" t="s">
        <v>199</v>
      </c>
      <c r="F16" s="16">
        <f>IF(K6="","",K6)</f>
        <v>1</v>
      </c>
      <c r="G16" s="6"/>
      <c r="H16" s="4"/>
      <c r="I16" s="2"/>
      <c r="J16" s="3"/>
      <c r="K16" s="3"/>
      <c r="L16" s="3"/>
      <c r="M16" s="3"/>
      <c r="N16" s="3"/>
      <c r="O16" s="4"/>
      <c r="P16" s="2"/>
      <c r="Q16" s="5"/>
      <c r="R16" s="15">
        <f>IF(INDEX(結果!$C$6:$BL$85,$BM15+1,P$87+2)="","",INDEX(結果!$C$6:$BL$85,$BM15+1,P$87+2))</f>
        <v>2</v>
      </c>
      <c r="S16" s="3" t="s">
        <v>199</v>
      </c>
      <c r="T16" s="16">
        <f>IF(R16="","",INDEX(結果!$C$6:$BL$85,$BM15+1,P$87+4))</f>
        <v>0</v>
      </c>
      <c r="U16" s="6"/>
      <c r="V16" s="4"/>
      <c r="W16" s="2"/>
      <c r="X16" s="5"/>
      <c r="Y16" s="15">
        <f>IF(INDEX(結果!$C$6:$BL$85,$BM15+1,W$87+2)="","",INDEX(結果!$C$6:$BL$85,$BM15+1,W$87+2))</f>
        <v>0</v>
      </c>
      <c r="Z16" s="3" t="s">
        <v>199</v>
      </c>
      <c r="AA16" s="16">
        <f>IF(Y16="","",INDEX(結果!$C$6:$BL$85,$BM15+1,W$87+4))</f>
        <v>1</v>
      </c>
      <c r="AB16" s="6"/>
      <c r="AC16" s="4"/>
      <c r="AD16" s="2"/>
      <c r="AE16" s="5"/>
      <c r="AF16" s="15">
        <f>IF(INDEX(結果!$C$6:$BL$85,$BM15+1,AD$87+2)="","",INDEX(結果!$C$6:$BL$85,$BM15+1,AD$87+2))</f>
        <v>0</v>
      </c>
      <c r="AG16" s="3" t="s">
        <v>199</v>
      </c>
      <c r="AH16" s="16">
        <f>IF(AF16="","",INDEX(結果!$C$6:$BL$85,$BM15+1,AD$87+4))</f>
        <v>0</v>
      </c>
      <c r="AI16" s="6"/>
      <c r="AJ16" s="4"/>
      <c r="AK16" s="2"/>
      <c r="AL16" s="5"/>
      <c r="AM16" s="15">
        <f>IF(INDEX(結果!$C$6:$BL$85,$BM15+1,AK$87+2)="","",INDEX(結果!$C$6:$BL$85,$BM15+1,AK$87+2))</f>
        <v>5</v>
      </c>
      <c r="AN16" s="3" t="s">
        <v>199</v>
      </c>
      <c r="AO16" s="16">
        <f>IF(AM16="","",INDEX(結果!$C$6:$BL$85,$BM15+1,AK$87+4))</f>
        <v>0</v>
      </c>
      <c r="AP16" s="6"/>
      <c r="AQ16" s="4"/>
      <c r="AR16" s="2"/>
      <c r="AS16" s="5"/>
      <c r="AT16" s="15">
        <f>IF(INDEX(結果!$C$6:$BL$85,$BM15+1,AR$87+2)="","",INDEX(結果!$C$6:$BL$85,$BM15+1,AR$87+2))</f>
        <v>5</v>
      </c>
      <c r="AU16" s="3" t="s">
        <v>199</v>
      </c>
      <c r="AV16" s="16">
        <f>IF(AT16="","",INDEX(結果!$C$6:$BL$85,$BM15+1,AR$87+4))</f>
        <v>0</v>
      </c>
      <c r="AW16" s="6"/>
      <c r="AX16" s="4"/>
      <c r="AY16" s="2"/>
      <c r="AZ16" s="5"/>
      <c r="BA16" s="15">
        <f>IF(INDEX(結果!$C$6:$BL$85,$BM15+1,AY$87+2)="","",INDEX(結果!$C$6:$BL$85,$BM15+1,AY$87+2))</f>
        <v>5</v>
      </c>
      <c r="BB16" s="3" t="s">
        <v>199</v>
      </c>
      <c r="BC16" s="16">
        <f>IF(BA16="","",INDEX(結果!$C$6:$BL$85,$BM15+1,AY$87+4))</f>
        <v>0</v>
      </c>
      <c r="BD16" s="6"/>
      <c r="BE16" s="4"/>
      <c r="BF16" s="573"/>
      <c r="BG16" s="561"/>
      <c r="BH16" s="561"/>
      <c r="BI16" s="575"/>
      <c r="BJ16" s="570"/>
      <c r="BK16" s="47"/>
      <c r="BL16" s="599"/>
    </row>
    <row r="17" spans="1:65" ht="10.5" customHeight="1" x14ac:dyDescent="0.25">
      <c r="A17" s="530"/>
      <c r="B17" s="17"/>
      <c r="C17" s="7"/>
      <c r="D17" s="15">
        <f>IF(M7="","",M7)</f>
        <v>0</v>
      </c>
      <c r="E17" s="3" t="s">
        <v>199</v>
      </c>
      <c r="F17" s="16">
        <f>IF(K7="","",K7)</f>
        <v>1</v>
      </c>
      <c r="G17" s="8"/>
      <c r="H17" s="4"/>
      <c r="I17" s="2"/>
      <c r="J17" s="3"/>
      <c r="K17" s="3"/>
      <c r="L17" s="3"/>
      <c r="M17" s="3"/>
      <c r="N17" s="3"/>
      <c r="O17" s="4"/>
      <c r="P17" s="2"/>
      <c r="Q17" s="7"/>
      <c r="R17" s="15">
        <f>IF(R16="","",INDEX(結果!$C$6:$BL$85,$BM15+2,P$87+2))</f>
        <v>3</v>
      </c>
      <c r="S17" s="3" t="s">
        <v>199</v>
      </c>
      <c r="T17" s="16">
        <f>IF(R17="","",INDEX(結果!$C$6:$BL$85,$BM15+2,P$87+4))</f>
        <v>0</v>
      </c>
      <c r="U17" s="8"/>
      <c r="V17" s="4"/>
      <c r="W17" s="2"/>
      <c r="X17" s="7"/>
      <c r="Y17" s="15">
        <f>IF(Y16="","",INDEX(結果!$C$6:$BL$85,$BM15+2,W$87+2))</f>
        <v>1</v>
      </c>
      <c r="Z17" s="3" t="s">
        <v>199</v>
      </c>
      <c r="AA17" s="16">
        <f>IF(Y17="","",INDEX(結果!$C$6:$BL$85,$BM15+2,W$87+4))</f>
        <v>0</v>
      </c>
      <c r="AB17" s="8"/>
      <c r="AC17" s="4"/>
      <c r="AD17" s="2"/>
      <c r="AE17" s="7"/>
      <c r="AF17" s="15">
        <f>IF(AF16="","",INDEX(結果!$C$6:$BL$85,$BM15+2,AD$87+2))</f>
        <v>1</v>
      </c>
      <c r="AG17" s="3" t="s">
        <v>199</v>
      </c>
      <c r="AH17" s="16">
        <f>IF(AF17="","",INDEX(結果!$C$6:$BL$85,$BM15+2,AD$87+4))</f>
        <v>0</v>
      </c>
      <c r="AI17" s="8"/>
      <c r="AJ17" s="4"/>
      <c r="AK17" s="2"/>
      <c r="AL17" s="7"/>
      <c r="AM17" s="15">
        <f>IF(AM16="","",INDEX(結果!$C$6:$BL$85,$BM15+2,AK$87+2))</f>
        <v>2</v>
      </c>
      <c r="AN17" s="3" t="s">
        <v>199</v>
      </c>
      <c r="AO17" s="16">
        <f>IF(AM17="","",INDEX(結果!$C$6:$BL$85,$BM15+2,AK$87+4))</f>
        <v>0</v>
      </c>
      <c r="AP17" s="8"/>
      <c r="AQ17" s="4"/>
      <c r="AR17" s="2"/>
      <c r="AS17" s="7"/>
      <c r="AT17" s="15">
        <f>IF(AT16="","",INDEX(結果!$C$6:$BL$85,$BM15+2,AR$87+2))</f>
        <v>5</v>
      </c>
      <c r="AU17" s="3" t="s">
        <v>199</v>
      </c>
      <c r="AV17" s="16">
        <f>IF(AT17="","",INDEX(結果!$C$6:$BL$85,$BM15+2,AR$87+4))</f>
        <v>0</v>
      </c>
      <c r="AW17" s="8"/>
      <c r="AX17" s="4"/>
      <c r="AY17" s="2"/>
      <c r="AZ17" s="7"/>
      <c r="BA17" s="15">
        <f>IF(BA16="","",INDEX(結果!$C$6:$BL$85,$BM15+2,AY$87+2))</f>
        <v>3</v>
      </c>
      <c r="BB17" s="3" t="s">
        <v>199</v>
      </c>
      <c r="BC17" s="16">
        <f>IF(BA17="","",INDEX(結果!$C$6:$BL$85,$BM15+2,AY$87+4))</f>
        <v>1</v>
      </c>
      <c r="BD17" s="8"/>
      <c r="BE17" s="4"/>
      <c r="BF17" s="573"/>
      <c r="BG17" s="561"/>
      <c r="BH17" s="561"/>
      <c r="BI17" s="575"/>
      <c r="BJ17" s="570"/>
      <c r="BK17" s="47"/>
      <c r="BL17" s="599"/>
    </row>
    <row r="18" spans="1:65" ht="11.25" customHeight="1" x14ac:dyDescent="0.25">
      <c r="A18" s="530"/>
      <c r="C18" s="532" t="str">
        <f>IF(B19="","",J8)</f>
        <v>④</v>
      </c>
      <c r="D18" s="532"/>
      <c r="E18" s="540">
        <f>IF(B19="","",L8)</f>
        <v>42504</v>
      </c>
      <c r="F18" s="540"/>
      <c r="G18" s="540"/>
      <c r="H18" s="541"/>
      <c r="I18" s="2"/>
      <c r="J18" s="3"/>
      <c r="K18" s="3"/>
      <c r="L18" s="3"/>
      <c r="M18" s="3"/>
      <c r="N18" s="3"/>
      <c r="O18" s="4"/>
      <c r="P18" s="80"/>
      <c r="Q18" s="532" t="str">
        <f>IF(P19="","",INDEX(結果!$C$6:$BL$85,$BM15+3,P$87+1))</f>
        <v>⑥</v>
      </c>
      <c r="R18" s="532"/>
      <c r="S18" s="546">
        <f>IF(P19="","",INDEX(結果!$C$6:$BL$85,$BM15+3,P$87+3))</f>
        <v>42526</v>
      </c>
      <c r="T18" s="546"/>
      <c r="U18" s="546"/>
      <c r="V18" s="547"/>
      <c r="W18" s="80"/>
      <c r="X18" s="532" t="str">
        <f>IF(W19="","",INDEX(結果!$C$6:$BL$85,$BM15+3,W$87+1))</f>
        <v>⑦</v>
      </c>
      <c r="Y18" s="532"/>
      <c r="Z18" s="546">
        <f>IF(W19="","",INDEX(結果!$C$6:$BL$85,$BM15+3,W$87+3))</f>
        <v>42553</v>
      </c>
      <c r="AA18" s="546"/>
      <c r="AB18" s="546"/>
      <c r="AC18" s="547"/>
      <c r="AD18" s="80"/>
      <c r="AE18" s="532" t="str">
        <f>IF(AD19="","",INDEX(結果!$C$6:$BL$85,$BM15+3,AD$87+1))</f>
        <v>⑥</v>
      </c>
      <c r="AF18" s="532"/>
      <c r="AG18" s="546">
        <f>IF(AD19="","",INDEX(結果!$C$6:$BL$85,$BM15+3,AD$87+3))</f>
        <v>42518</v>
      </c>
      <c r="AH18" s="546"/>
      <c r="AI18" s="546"/>
      <c r="AJ18" s="547"/>
      <c r="AK18" s="80"/>
      <c r="AL18" s="532" t="str">
        <f>IF(AK19="","",INDEX(結果!$C$6:$BL$85,$BM15+3,AK$87+1))</f>
        <v>③</v>
      </c>
      <c r="AM18" s="532"/>
      <c r="AN18" s="546">
        <f>IF(AK19="","",INDEX(結果!$C$6:$BL$85,$BM15+3,AK$87+3))</f>
        <v>42497</v>
      </c>
      <c r="AO18" s="546"/>
      <c r="AP18" s="546"/>
      <c r="AQ18" s="547"/>
      <c r="AR18" s="80"/>
      <c r="AS18" s="532" t="str">
        <f>IF(AR19="","",INDEX(結果!$C$6:$BL$85,$BM15+3,AR$87+1))</f>
        <v>②</v>
      </c>
      <c r="AT18" s="532"/>
      <c r="AU18" s="546">
        <f>IF(AR19="","",INDEX(結果!$C$6:$BL$85,$BM15+3,AR$87+3))</f>
        <v>42493</v>
      </c>
      <c r="AV18" s="546"/>
      <c r="AW18" s="546"/>
      <c r="AX18" s="547"/>
      <c r="AY18" s="80"/>
      <c r="AZ18" s="532" t="str">
        <f>IF(AY19="","",INDEX(結果!$C$6:$BL$85,$BM15+3,AY$87+1))</f>
        <v>①</v>
      </c>
      <c r="BA18" s="532"/>
      <c r="BB18" s="546">
        <f>IF(AY19="","",INDEX(結果!$C$6:$BL$85,$BM15+3,AY$87+3))</f>
        <v>42489</v>
      </c>
      <c r="BC18" s="546"/>
      <c r="BD18" s="546"/>
      <c r="BE18" s="547"/>
      <c r="BF18" s="573"/>
      <c r="BG18" s="561"/>
      <c r="BH18" s="561"/>
      <c r="BI18" s="575"/>
      <c r="BJ18" s="570"/>
      <c r="BK18" s="47"/>
      <c r="BL18" s="599"/>
    </row>
    <row r="19" spans="1:65" ht="11.25" customHeight="1" x14ac:dyDescent="0.25">
      <c r="A19" s="530"/>
      <c r="B19" s="533" t="str">
        <f>IF(I9="","",I9)</f>
        <v>金沢交流</v>
      </c>
      <c r="C19" s="534"/>
      <c r="D19" s="534"/>
      <c r="E19" s="534"/>
      <c r="F19" s="534"/>
      <c r="G19" s="534"/>
      <c r="H19" s="535"/>
      <c r="I19" s="2"/>
      <c r="J19" s="3"/>
      <c r="K19" s="3"/>
      <c r="L19" s="3"/>
      <c r="M19" s="3"/>
      <c r="N19" s="3"/>
      <c r="O19" s="4"/>
      <c r="P19" s="548" t="str">
        <f>IF(INDEX(結果!$C$6:$BL$85,$BM15+4,P$87)="","",INDEX(結果!$C$6:$BL$85,$BM15+4,P$87))</f>
        <v>星稜ｻｯｶｰ場</v>
      </c>
      <c r="Q19" s="532"/>
      <c r="R19" s="532"/>
      <c r="S19" s="532"/>
      <c r="T19" s="532"/>
      <c r="U19" s="532"/>
      <c r="V19" s="539"/>
      <c r="W19" s="548" t="str">
        <f>IF(INDEX(結果!$C$6:$BL$85,$BM15+4,W$87)="","",INDEX(結果!$C$6:$BL$85,$BM15+4,W$87))</f>
        <v>金沢市民</v>
      </c>
      <c r="X19" s="532"/>
      <c r="Y19" s="532"/>
      <c r="Z19" s="532"/>
      <c r="AA19" s="532"/>
      <c r="AB19" s="532"/>
      <c r="AC19" s="539"/>
      <c r="AD19" s="548" t="str">
        <f>IF(INDEX(結果!$C$6:$BL$85,$BM15+4,AD$87)="","",INDEX(結果!$C$6:$BL$85,$BM15+4,AD$87))</f>
        <v>金沢市民</v>
      </c>
      <c r="AE19" s="532"/>
      <c r="AF19" s="532"/>
      <c r="AG19" s="532"/>
      <c r="AH19" s="532"/>
      <c r="AI19" s="532"/>
      <c r="AJ19" s="539"/>
      <c r="AK19" s="548" t="str">
        <f>IF(INDEX(結果!$C$6:$BL$85,$BM15+4,AK$87)="","",INDEX(結果!$C$6:$BL$85,$BM15+4,AK$87))</f>
        <v>金沢交流</v>
      </c>
      <c r="AL19" s="532"/>
      <c r="AM19" s="532"/>
      <c r="AN19" s="532"/>
      <c r="AO19" s="532"/>
      <c r="AP19" s="532"/>
      <c r="AQ19" s="539"/>
      <c r="AR19" s="548" t="str">
        <f>IF(INDEX(結果!$C$6:$BL$85,$BM15+4,AR$87)="","",INDEX(結果!$C$6:$BL$85,$BM15+4,AR$87))</f>
        <v>金沢交流</v>
      </c>
      <c r="AS19" s="532"/>
      <c r="AT19" s="532"/>
      <c r="AU19" s="532"/>
      <c r="AV19" s="532"/>
      <c r="AW19" s="532"/>
      <c r="AX19" s="539"/>
      <c r="AY19" s="548" t="str">
        <f>IF(INDEX(結果!$C$6:$BL$85,$BM15+4,AY$87)="","",INDEX(結果!$C$6:$BL$85,$BM15+4,AY$87))</f>
        <v>能登島Ｂ</v>
      </c>
      <c r="AZ19" s="532"/>
      <c r="BA19" s="532"/>
      <c r="BB19" s="532"/>
      <c r="BC19" s="532"/>
      <c r="BD19" s="532"/>
      <c r="BE19" s="539"/>
      <c r="BF19" s="573"/>
      <c r="BG19" s="561"/>
      <c r="BH19" s="561"/>
      <c r="BI19" s="575"/>
      <c r="BJ19" s="570"/>
      <c r="BK19" s="47"/>
      <c r="BL19" s="599"/>
    </row>
    <row r="20" spans="1:65" ht="11.25" customHeight="1" x14ac:dyDescent="0.25">
      <c r="A20" s="530"/>
      <c r="B20" s="536" t="str">
        <f>IF(D22="","",D21+D22)</f>
        <v/>
      </c>
      <c r="C20" s="537"/>
      <c r="D20" s="537"/>
      <c r="E20" s="9" t="str">
        <f>IF(D22="","",IF(B20=F20,"△",IF(B20&gt;F20,"○","●")))</f>
        <v/>
      </c>
      <c r="F20" s="537" t="str">
        <f>IF(F22="","",F21+F22)</f>
        <v/>
      </c>
      <c r="G20" s="537"/>
      <c r="H20" s="542"/>
      <c r="I20" s="2"/>
      <c r="J20" s="3"/>
      <c r="K20" s="3"/>
      <c r="L20" s="3"/>
      <c r="M20" s="3"/>
      <c r="N20" s="3"/>
      <c r="O20" s="4"/>
      <c r="P20" s="544" t="str">
        <f>IF(R22="","",R21+R22)</f>
        <v/>
      </c>
      <c r="Q20" s="537"/>
      <c r="R20" s="537"/>
      <c r="S20" s="9" t="str">
        <f>IF(R22="","",IF(P20=T20,"△",IF(P20&gt;T20,"○","●")))</f>
        <v/>
      </c>
      <c r="T20" s="537" t="str">
        <f>IF(T22="","",T21+T22)</f>
        <v/>
      </c>
      <c r="U20" s="537"/>
      <c r="V20" s="542"/>
      <c r="W20" s="544">
        <f>IF(Y22="","",Y21+Y22)</f>
        <v>3</v>
      </c>
      <c r="X20" s="537"/>
      <c r="Y20" s="537"/>
      <c r="Z20" s="9" t="str">
        <f>IF(Y22="","",IF(W20=AA20,"△",IF(W20&gt;AA20,"○","●")))</f>
        <v>○</v>
      </c>
      <c r="AA20" s="537">
        <f>IF(AA22="","",AA21+AA22)</f>
        <v>0</v>
      </c>
      <c r="AB20" s="537"/>
      <c r="AC20" s="542"/>
      <c r="AD20" s="544">
        <f>IF(AF22="","",AF21+AF22)</f>
        <v>3</v>
      </c>
      <c r="AE20" s="537"/>
      <c r="AF20" s="537"/>
      <c r="AG20" s="9" t="str">
        <f>IF(AF22="","",IF(AD20=AH20,"△",IF(AD20&gt;AH20,"○","●")))</f>
        <v>○</v>
      </c>
      <c r="AH20" s="537">
        <f>IF(AH22="","",AH21+AH22)</f>
        <v>1</v>
      </c>
      <c r="AI20" s="537"/>
      <c r="AJ20" s="542"/>
      <c r="AK20" s="544">
        <f>IF(AM22="","",AM21+AM22)</f>
        <v>7</v>
      </c>
      <c r="AL20" s="537"/>
      <c r="AM20" s="537"/>
      <c r="AN20" s="9" t="str">
        <f>IF(AM22="","",IF(AK20=AO20,"△",IF(AK20&gt;AO20,"○","●")))</f>
        <v>○</v>
      </c>
      <c r="AO20" s="537">
        <f>IF(AO22="","",AO21+AO22)</f>
        <v>0</v>
      </c>
      <c r="AP20" s="537"/>
      <c r="AQ20" s="542"/>
      <c r="AR20" s="544">
        <f>IF(AT22="","",AT21+AT22)</f>
        <v>3</v>
      </c>
      <c r="AS20" s="537"/>
      <c r="AT20" s="537"/>
      <c r="AU20" s="9" t="str">
        <f>IF(AT22="","",IF(AR20=AV20,"△",IF(AR20&gt;AV20,"○","●")))</f>
        <v>○</v>
      </c>
      <c r="AV20" s="537">
        <f>IF(AV22="","",AV21+AV22)</f>
        <v>0</v>
      </c>
      <c r="AW20" s="537"/>
      <c r="AX20" s="542"/>
      <c r="AY20" s="544" t="str">
        <f>IF(BA22="","",BA21+BA22)</f>
        <v/>
      </c>
      <c r="AZ20" s="537"/>
      <c r="BA20" s="537"/>
      <c r="BB20" s="9" t="str">
        <f>IF(BA22="","",IF(AY20=BC20,"△",IF(AY20&gt;BC20,"○","●")))</f>
        <v/>
      </c>
      <c r="BC20" s="537" t="str">
        <f>IF(BC22="","",BC21+BC22)</f>
        <v/>
      </c>
      <c r="BD20" s="537"/>
      <c r="BE20" s="542"/>
      <c r="BF20" s="573"/>
      <c r="BG20" s="561"/>
      <c r="BH20" s="561"/>
      <c r="BI20" s="575"/>
      <c r="BJ20" s="570"/>
      <c r="BK20" s="47"/>
      <c r="BL20" s="599"/>
    </row>
    <row r="21" spans="1:65" ht="11.25" customHeight="1" x14ac:dyDescent="0.25">
      <c r="A21" s="530"/>
      <c r="B21" s="17"/>
      <c r="C21" s="5"/>
      <c r="D21" s="15" t="str">
        <f>IF(M11="","",M11)</f>
        <v/>
      </c>
      <c r="E21" s="3" t="s">
        <v>199</v>
      </c>
      <c r="F21" s="16" t="str">
        <f>IF(K11="","",K11)</f>
        <v/>
      </c>
      <c r="G21" s="6"/>
      <c r="H21" s="4"/>
      <c r="I21" s="2"/>
      <c r="J21" s="3"/>
      <c r="K21" s="3"/>
      <c r="L21" s="3"/>
      <c r="M21" s="3"/>
      <c r="N21" s="3"/>
      <c r="O21" s="4"/>
      <c r="P21" s="2"/>
      <c r="Q21" s="5"/>
      <c r="R21" s="15" t="str">
        <f>IF(INDEX(結果!$C$6:$BL$85,$BM15+6,P$87+2)="","",INDEX(結果!$C$6:$BL$85,$BM15+6,P$87+2))</f>
        <v/>
      </c>
      <c r="S21" s="3" t="s">
        <v>199</v>
      </c>
      <c r="T21" s="16" t="str">
        <f>IF(R21="","",INDEX(結果!$C$6:$BL$85,$BM15+6,P$87+4))</f>
        <v/>
      </c>
      <c r="U21" s="6"/>
      <c r="V21" s="4"/>
      <c r="W21" s="2"/>
      <c r="X21" s="5"/>
      <c r="Y21" s="15">
        <f>IF(INDEX(結果!$C$6:$BL$85,$BM15+6,W$87+2)="","",INDEX(結果!$C$6:$BL$85,$BM15+6,W$87+2))</f>
        <v>1</v>
      </c>
      <c r="Z21" s="3" t="s">
        <v>199</v>
      </c>
      <c r="AA21" s="16">
        <f>IF(Y21="","",INDEX(結果!$C$6:$BL$85,$BM15+6,W$87+4))</f>
        <v>0</v>
      </c>
      <c r="AB21" s="6"/>
      <c r="AC21" s="4"/>
      <c r="AD21" s="2"/>
      <c r="AE21" s="5"/>
      <c r="AF21" s="15">
        <f>IF(INDEX(結果!$C$6:$BL$85,$BM15+6,AD$87+2)="","",INDEX(結果!$C$6:$BL$85,$BM15+6,AD$87+2))</f>
        <v>0</v>
      </c>
      <c r="AG21" s="3" t="s">
        <v>199</v>
      </c>
      <c r="AH21" s="16">
        <f>IF(AF21="","",INDEX(結果!$C$6:$BL$85,$BM15+6,AD$87+4))</f>
        <v>1</v>
      </c>
      <c r="AI21" s="6"/>
      <c r="AJ21" s="4"/>
      <c r="AK21" s="2"/>
      <c r="AL21" s="5"/>
      <c r="AM21" s="15">
        <f>IF(INDEX(結果!$C$6:$BL$85,$BM15+6,AK$87+2)="","",INDEX(結果!$C$6:$BL$85,$BM15+6,AK$87+2))</f>
        <v>1</v>
      </c>
      <c r="AN21" s="3" t="s">
        <v>199</v>
      </c>
      <c r="AO21" s="16">
        <f>IF(AM21="","",INDEX(結果!$C$6:$BL$85,$BM15+6,AK$87+4))</f>
        <v>0</v>
      </c>
      <c r="AP21" s="6"/>
      <c r="AQ21" s="4"/>
      <c r="AR21" s="2"/>
      <c r="AS21" s="5"/>
      <c r="AT21" s="15">
        <f>IF(INDEX(結果!$C$6:$BL$85,$BM15+6,AR$87+2)="","",INDEX(結果!$C$6:$BL$85,$BM15+6,AR$87+2))</f>
        <v>2</v>
      </c>
      <c r="AU21" s="3" t="s">
        <v>199</v>
      </c>
      <c r="AV21" s="16">
        <f>IF(AT21="","",INDEX(結果!$C$6:$BL$85,$BM15+6,AR$87+4))</f>
        <v>1</v>
      </c>
      <c r="AW21" s="6"/>
      <c r="AX21" s="4"/>
      <c r="AY21" s="2"/>
      <c r="AZ21" s="5"/>
      <c r="BA21" s="15" t="str">
        <f>IF(INDEX(結果!$C$6:$BL$85,$BM15+6,AY$87+2)="","",INDEX(結果!$C$6:$BL$85,$BM15+6,AY$87+2))</f>
        <v/>
      </c>
      <c r="BB21" s="3" t="s">
        <v>199</v>
      </c>
      <c r="BC21" s="16" t="str">
        <f>IF(BA21="","",INDEX(結果!$C$6:$BL$85,$BM15+6,AY$87+4))</f>
        <v/>
      </c>
      <c r="BD21" s="6"/>
      <c r="BE21" s="4"/>
      <c r="BF21" s="573"/>
      <c r="BG21" s="561"/>
      <c r="BH21" s="561"/>
      <c r="BI21" s="575"/>
      <c r="BJ21" s="570"/>
      <c r="BK21" s="47"/>
      <c r="BL21" s="599"/>
    </row>
    <row r="22" spans="1:65" ht="11.25" customHeight="1" x14ac:dyDescent="0.25">
      <c r="A22" s="530"/>
      <c r="B22" s="17"/>
      <c r="C22" s="7"/>
      <c r="D22" s="15" t="str">
        <f>IF(M12="","",M12)</f>
        <v/>
      </c>
      <c r="E22" s="3" t="s">
        <v>199</v>
      </c>
      <c r="F22" s="16" t="str">
        <f>IF(K12="","",K12)</f>
        <v/>
      </c>
      <c r="G22" s="8"/>
      <c r="H22" s="4"/>
      <c r="I22" s="2"/>
      <c r="J22" s="3"/>
      <c r="K22" s="3"/>
      <c r="L22" s="3"/>
      <c r="M22" s="3"/>
      <c r="N22" s="3"/>
      <c r="O22" s="4"/>
      <c r="P22" s="2"/>
      <c r="Q22" s="7"/>
      <c r="R22" s="15" t="str">
        <f>IF(R21="","",INDEX(結果!$C$6:$BL$85,$BM15+7,P$87+2))</f>
        <v/>
      </c>
      <c r="S22" s="3" t="s">
        <v>199</v>
      </c>
      <c r="T22" s="16" t="str">
        <f>IF(R22="","",INDEX(結果!$C$6:$BL$85,$BM15+7,P$87+4))</f>
        <v/>
      </c>
      <c r="U22" s="8"/>
      <c r="V22" s="4"/>
      <c r="W22" s="2"/>
      <c r="X22" s="7"/>
      <c r="Y22" s="15">
        <f>IF(Y21="","",INDEX(結果!$C$6:$BL$85,$BM15+7,W$87+2))</f>
        <v>2</v>
      </c>
      <c r="Z22" s="3" t="s">
        <v>199</v>
      </c>
      <c r="AA22" s="16">
        <f>IF(Y22="","",INDEX(結果!$C$6:$BL$85,$BM15+7,W$87+4))</f>
        <v>0</v>
      </c>
      <c r="AB22" s="8"/>
      <c r="AC22" s="4"/>
      <c r="AD22" s="2"/>
      <c r="AE22" s="7"/>
      <c r="AF22" s="15">
        <f>IF(AF21="","",INDEX(結果!$C$6:$BL$85,$BM15+7,AD$87+2))</f>
        <v>3</v>
      </c>
      <c r="AG22" s="3" t="s">
        <v>199</v>
      </c>
      <c r="AH22" s="16">
        <f>IF(AF22="","",INDEX(結果!$C$6:$BL$85,$BM15+7,AD$87+4))</f>
        <v>0</v>
      </c>
      <c r="AI22" s="8"/>
      <c r="AJ22" s="4"/>
      <c r="AK22" s="2"/>
      <c r="AL22" s="7"/>
      <c r="AM22" s="15">
        <f>IF(AM21="","",INDEX(結果!$C$6:$BL$85,$BM15+7,AK$87+2))</f>
        <v>6</v>
      </c>
      <c r="AN22" s="3" t="s">
        <v>199</v>
      </c>
      <c r="AO22" s="16">
        <f>IF(AM22="","",INDEX(結果!$C$6:$BL$85,$BM15+7,AK$87+4))</f>
        <v>0</v>
      </c>
      <c r="AP22" s="8"/>
      <c r="AQ22" s="4"/>
      <c r="AR22" s="2"/>
      <c r="AS22" s="7"/>
      <c r="AT22" s="15">
        <f>IF(AT21="","",INDEX(結果!$C$6:$BL$85,$BM15+7,AR$87+2))</f>
        <v>1</v>
      </c>
      <c r="AU22" s="3" t="s">
        <v>199</v>
      </c>
      <c r="AV22" s="16">
        <f>IF(AT22="","",INDEX(結果!$C$6:$BL$85,$BM15+7,AR$87+4))</f>
        <v>-1</v>
      </c>
      <c r="AW22" s="8"/>
      <c r="AX22" s="4"/>
      <c r="AY22" s="2"/>
      <c r="AZ22" s="7"/>
      <c r="BA22" s="15" t="str">
        <f>IF(BA21="","",INDEX(結果!$C$6:$BL$85,$BM15+7,AY$87+2))</f>
        <v/>
      </c>
      <c r="BB22" s="3" t="s">
        <v>199</v>
      </c>
      <c r="BC22" s="16" t="str">
        <f>IF(BA22="","",INDEX(結果!$C$6:$BL$85,$BM15+7,AY$87+4))</f>
        <v/>
      </c>
      <c r="BD22" s="8"/>
      <c r="BE22" s="4"/>
      <c r="BF22" s="573"/>
      <c r="BG22" s="561"/>
      <c r="BH22" s="561"/>
      <c r="BI22" s="575"/>
      <c r="BJ22" s="570"/>
      <c r="BK22" s="47"/>
      <c r="BL22" s="599"/>
    </row>
    <row r="23" spans="1:65" ht="11.25" customHeight="1" x14ac:dyDescent="0.25">
      <c r="A23" s="530"/>
      <c r="C23" s="532" t="str">
        <f>IF(B24="","",J13)</f>
        <v>②</v>
      </c>
      <c r="D23" s="532"/>
      <c r="E23" s="540">
        <f>IF(B24="","",L13)</f>
        <v>42677</v>
      </c>
      <c r="F23" s="540"/>
      <c r="G23" s="540"/>
      <c r="H23" s="541"/>
      <c r="I23" s="2"/>
      <c r="J23" s="3"/>
      <c r="K23" s="3"/>
      <c r="L23" s="3"/>
      <c r="M23" s="3"/>
      <c r="N23" s="3"/>
      <c r="O23" s="4"/>
      <c r="P23" s="80"/>
      <c r="Q23" s="532" t="str">
        <f>IF(P24="","",INDEX(結果!$C$6:$BL$85,$BM15+8,P$87+1))</f>
        <v>②</v>
      </c>
      <c r="R23" s="532"/>
      <c r="S23" s="546">
        <f>IF(P24="","",INDEX(結果!$C$6:$BL$85,$BM15+8,P$87+3))</f>
        <v>42673</v>
      </c>
      <c r="T23" s="546"/>
      <c r="U23" s="546"/>
      <c r="V23" s="547"/>
      <c r="W23" s="80"/>
      <c r="X23" s="532" t="str">
        <f>IF(W24="","",INDEX(結果!$C$6:$BL$85,$BM15+8,W$87+1))</f>
        <v>②</v>
      </c>
      <c r="Y23" s="532"/>
      <c r="Z23" s="546">
        <f>IF(W24="","",INDEX(結果!$C$6:$BL$85,$BM15+8,W$87+3))</f>
        <v>42624</v>
      </c>
      <c r="AA23" s="546"/>
      <c r="AB23" s="546"/>
      <c r="AC23" s="547"/>
      <c r="AD23" s="80"/>
      <c r="AE23" s="532" t="str">
        <f>IF(AD24="","",INDEX(結果!$C$6:$BL$85,$BM15+8,AD$87+1))</f>
        <v>⑧</v>
      </c>
      <c r="AF23" s="532"/>
      <c r="AG23" s="546">
        <f>IF(AD24="","",INDEX(結果!$C$6:$BL$85,$BM15+8,AD$87+3))</f>
        <v>42574</v>
      </c>
      <c r="AH23" s="546"/>
      <c r="AI23" s="546"/>
      <c r="AJ23" s="547"/>
      <c r="AK23" s="80"/>
      <c r="AL23" s="532" t="str">
        <f>IF(AK24="","",INDEX(結果!$C$6:$BL$85,$BM15+8,AK$87+1))</f>
        <v>②</v>
      </c>
      <c r="AM23" s="532"/>
      <c r="AN23" s="546">
        <f>IF(AK24="","",INDEX(結果!$C$6:$BL$85,$BM15+8,AK$87+3))</f>
        <v>42644</v>
      </c>
      <c r="AO23" s="546"/>
      <c r="AP23" s="546"/>
      <c r="AQ23" s="547"/>
      <c r="AR23" s="80"/>
      <c r="AS23" s="532" t="str">
        <f>IF(AR24="","",INDEX(結果!$C$6:$BL$85,$BM15+8,AR$87+1))</f>
        <v>⑨</v>
      </c>
      <c r="AT23" s="532"/>
      <c r="AU23" s="546">
        <f>IF(AR24="","",INDEX(結果!$C$6:$BL$85,$BM15+8,AR$87+3))</f>
        <v>42581</v>
      </c>
      <c r="AV23" s="546"/>
      <c r="AW23" s="546"/>
      <c r="AX23" s="547"/>
      <c r="AY23" s="80"/>
      <c r="AZ23" s="532" t="str">
        <f>IF(AY24="","",INDEX(結果!$C$6:$BL$85,$BM15+8,AY$87+1))</f>
        <v>②</v>
      </c>
      <c r="BA23" s="532"/>
      <c r="BB23" s="546">
        <f>IF(AY24="","",INDEX(結果!$C$6:$BL$85,$BM15+8,AY$87+3))</f>
        <v>42658</v>
      </c>
      <c r="BC23" s="546"/>
      <c r="BD23" s="546"/>
      <c r="BE23" s="547"/>
      <c r="BF23" s="573"/>
      <c r="BG23" s="561"/>
      <c r="BH23" s="561"/>
      <c r="BI23" s="575"/>
      <c r="BJ23" s="570"/>
      <c r="BK23" s="47"/>
      <c r="BL23" s="599"/>
    </row>
    <row r="24" spans="1:65" ht="11.25" customHeight="1" x14ac:dyDescent="0.25">
      <c r="A24" s="531"/>
      <c r="B24" s="533" t="str">
        <f>IF(I14="","",I14)</f>
        <v>金沢市民</v>
      </c>
      <c r="C24" s="534"/>
      <c r="D24" s="534"/>
      <c r="E24" s="534"/>
      <c r="F24" s="534"/>
      <c r="G24" s="534"/>
      <c r="H24" s="535"/>
      <c r="I24" s="2"/>
      <c r="J24" s="3"/>
      <c r="K24" s="3"/>
      <c r="L24" s="3"/>
      <c r="M24" s="3"/>
      <c r="N24" s="3"/>
      <c r="O24" s="4"/>
      <c r="P24" s="543" t="str">
        <f>IF(INDEX(結果!$C$6:$BL$85,$BM15+9,P$87)="","",INDEX(結果!$C$6:$BL$85,$BM15+9,P$87))</f>
        <v>星稜ｻｯｶｰ場</v>
      </c>
      <c r="Q24" s="534"/>
      <c r="R24" s="534"/>
      <c r="S24" s="534"/>
      <c r="T24" s="534"/>
      <c r="U24" s="534"/>
      <c r="V24" s="535"/>
      <c r="W24" s="543" t="str">
        <f>IF(INDEX(結果!$C$6:$BL$85,$BM15+9,W$87)="","",INDEX(結果!$C$6:$BL$85,$BM15+9,W$87))</f>
        <v>能登島Ｂ</v>
      </c>
      <c r="X24" s="534"/>
      <c r="Y24" s="534"/>
      <c r="Z24" s="534"/>
      <c r="AA24" s="534"/>
      <c r="AB24" s="534"/>
      <c r="AC24" s="535"/>
      <c r="AD24" s="543" t="str">
        <f>IF(INDEX(結果!$C$6:$BL$85,$BM15+9,AD$87)="","",INDEX(結果!$C$6:$BL$85,$BM15+9,AD$87))</f>
        <v>北陸大FPB</v>
      </c>
      <c r="AE24" s="534"/>
      <c r="AF24" s="534"/>
      <c r="AG24" s="534"/>
      <c r="AH24" s="534"/>
      <c r="AI24" s="534"/>
      <c r="AJ24" s="535"/>
      <c r="AK24" s="543" t="str">
        <f>IF(INDEX(結果!$C$6:$BL$85,$BM15+9,AK$87)="","",INDEX(結果!$C$6:$BL$85,$BM15+9,AK$87))</f>
        <v>金沢市民</v>
      </c>
      <c r="AL24" s="534"/>
      <c r="AM24" s="534"/>
      <c r="AN24" s="534"/>
      <c r="AO24" s="534"/>
      <c r="AP24" s="534"/>
      <c r="AQ24" s="535"/>
      <c r="AR24" s="543" t="str">
        <f>IF(INDEX(結果!$C$6:$BL$85,$BM15+9,AR$87)="","",INDEX(結果!$C$6:$BL$85,$BM15+9,AR$87))</f>
        <v>小松市民</v>
      </c>
      <c r="AS24" s="534"/>
      <c r="AT24" s="534"/>
      <c r="AU24" s="534"/>
      <c r="AV24" s="534"/>
      <c r="AW24" s="534"/>
      <c r="AX24" s="535"/>
      <c r="AY24" s="543" t="str">
        <f>IF(INDEX(結果!$C$6:$BL$85,$BM15+9,AY$87)="","",INDEX(結果!$C$6:$BL$85,$BM15+9,AY$87))</f>
        <v>金沢市民</v>
      </c>
      <c r="AZ24" s="534"/>
      <c r="BA24" s="534"/>
      <c r="BB24" s="534"/>
      <c r="BC24" s="534"/>
      <c r="BD24" s="534"/>
      <c r="BE24" s="535"/>
      <c r="BF24" s="589"/>
      <c r="BG24" s="562"/>
      <c r="BH24" s="562"/>
      <c r="BI24" s="584"/>
      <c r="BJ24" s="571"/>
      <c r="BK24" s="47"/>
      <c r="BL24" s="599"/>
    </row>
    <row r="25" spans="1:65" ht="11.25" customHeight="1" x14ac:dyDescent="0.25">
      <c r="A25" s="529" t="str">
        <f>INDEX(結果!$B$6:$BL$85,MATCH($BL25,結果!BP$6:BP$85,0),1)</f>
        <v>星稜中学校</v>
      </c>
      <c r="B25" s="544">
        <f>IF(D27="","",D26+D27)</f>
        <v>1</v>
      </c>
      <c r="C25" s="537"/>
      <c r="D25" s="537"/>
      <c r="E25" s="9" t="str">
        <f>IF(D27="","",IF(B25=F25,"△",IF(B25&gt;F25,"○","●")))</f>
        <v>●</v>
      </c>
      <c r="F25" s="537">
        <f>IF(F27="","",F26+F27)</f>
        <v>5</v>
      </c>
      <c r="G25" s="537"/>
      <c r="H25" s="542"/>
      <c r="I25" s="544">
        <f>IF(K27="","",K26+K27)</f>
        <v>0</v>
      </c>
      <c r="J25" s="537"/>
      <c r="K25" s="537"/>
      <c r="L25" s="9" t="str">
        <f>IF(K27="","",IF(I25=M25,"△",IF(I25&gt;M25,"○","●")))</f>
        <v>●</v>
      </c>
      <c r="M25" s="537">
        <f>IF(M27="","",M26+M27)</f>
        <v>5</v>
      </c>
      <c r="N25" s="537"/>
      <c r="O25" s="542"/>
      <c r="P25" s="5"/>
      <c r="Q25" s="85"/>
      <c r="R25" s="85"/>
      <c r="S25" s="85"/>
      <c r="T25" s="85"/>
      <c r="U25" s="85"/>
      <c r="V25" s="6"/>
      <c r="W25" s="544">
        <f>IF(Y27="","",Y26+Y27)</f>
        <v>1</v>
      </c>
      <c r="X25" s="537"/>
      <c r="Y25" s="537"/>
      <c r="Z25" s="9" t="str">
        <f>IF(Y27="","",IF(W25=AA25,"△",IF(W25&gt;AA25,"○","●")))</f>
        <v>○</v>
      </c>
      <c r="AA25" s="537">
        <f>IF(AA27="","",AA26+AA27)</f>
        <v>0</v>
      </c>
      <c r="AB25" s="537"/>
      <c r="AC25" s="542"/>
      <c r="AD25" s="544">
        <f>IF(AF27="","",AF26+AF27)</f>
        <v>1</v>
      </c>
      <c r="AE25" s="537"/>
      <c r="AF25" s="537"/>
      <c r="AG25" s="9" t="str">
        <f>IF(AF27="","",IF(AD25=AH25,"△",IF(AD25&gt;AH25,"○","●")))</f>
        <v>●</v>
      </c>
      <c r="AH25" s="537">
        <f>IF(AH27="","",AH26+AH27)</f>
        <v>3</v>
      </c>
      <c r="AI25" s="537"/>
      <c r="AJ25" s="542"/>
      <c r="AK25" s="544">
        <f>IF(AM27="","",AM26+AM27)</f>
        <v>1</v>
      </c>
      <c r="AL25" s="537"/>
      <c r="AM25" s="537"/>
      <c r="AN25" s="9" t="str">
        <f>IF(AM27="","",IF(AK25=AO25,"△",IF(AK25&gt;AO25,"○","●")))</f>
        <v>○</v>
      </c>
      <c r="AO25" s="537">
        <f>IF(AO27="","",AO26+AO27)</f>
        <v>0</v>
      </c>
      <c r="AP25" s="537"/>
      <c r="AQ25" s="542"/>
      <c r="AR25" s="544">
        <f>IF(AT27="","",AT26+AT27)</f>
        <v>2</v>
      </c>
      <c r="AS25" s="537"/>
      <c r="AT25" s="537"/>
      <c r="AU25" s="9" t="str">
        <f>IF(AT27="","",IF(AR25=AV25,"△",IF(AR25&gt;AV25,"○","●")))</f>
        <v>○</v>
      </c>
      <c r="AV25" s="537">
        <f>IF(AV27="","",AV26+AV27)</f>
        <v>1</v>
      </c>
      <c r="AW25" s="537"/>
      <c r="AX25" s="542"/>
      <c r="AY25" s="544">
        <f>IF(BA27="","",BA26+BA27)</f>
        <v>9</v>
      </c>
      <c r="AZ25" s="537"/>
      <c r="BA25" s="537"/>
      <c r="BB25" s="9" t="str">
        <f>IF(BA27="","",IF(AY25=BC25,"△",IF(AY25&gt;BC25,"○","●")))</f>
        <v>○</v>
      </c>
      <c r="BC25" s="537">
        <f>IF(BC27="","",BC26+BC27)</f>
        <v>0</v>
      </c>
      <c r="BD25" s="537"/>
      <c r="BE25" s="566"/>
      <c r="BF25" s="588">
        <f>IF(COUNT(B26:BE26)=0,"",COUNTIF(S$5:S$84,"●")*3+COUNTIF(S$5:S$84,"△"))</f>
        <v>21</v>
      </c>
      <c r="BG25" s="560">
        <f>IF(BF25="","",SUM(T$5:T$84)/2)</f>
        <v>29</v>
      </c>
      <c r="BH25" s="560">
        <f>IF(BF25="","",SUM(P$5:P$84))</f>
        <v>19</v>
      </c>
      <c r="BI25" s="583">
        <f>IF(BF25="","",BG25-BH25)</f>
        <v>10</v>
      </c>
      <c r="BJ25" s="569">
        <f>IF(BF25="","",RANK(BK25,BK$5:BK$84))</f>
        <v>3</v>
      </c>
      <c r="BK25" s="47">
        <f>IF(BF25="",-ROW()*10000,BF25*10000+BI25*100+BG25+COUNTIF(B25:BE25,"&gt;=0")/20)</f>
        <v>211029.7</v>
      </c>
      <c r="BL25" s="599">
        <v>3</v>
      </c>
      <c r="BM25" s="1">
        <f>INDEX(結果!BM$6:BN$85,MATCH(BL25,結果!BP$6:BP$85,0),2)</f>
        <v>21</v>
      </c>
    </row>
    <row r="26" spans="1:65" ht="10.5" customHeight="1" x14ac:dyDescent="0.25">
      <c r="A26" s="530"/>
      <c r="B26" s="2"/>
      <c r="C26" s="5"/>
      <c r="D26" s="15">
        <f>IF(T6="","",T6)</f>
        <v>1</v>
      </c>
      <c r="E26" s="3" t="s">
        <v>199</v>
      </c>
      <c r="F26" s="16">
        <f>IF(R6="","",R6)</f>
        <v>1</v>
      </c>
      <c r="G26" s="6"/>
      <c r="H26" s="4"/>
      <c r="I26" s="2"/>
      <c r="J26" s="5"/>
      <c r="K26" s="15">
        <f>IF(T16="","",T16)</f>
        <v>0</v>
      </c>
      <c r="L26" s="3" t="s">
        <v>199</v>
      </c>
      <c r="M26" s="16">
        <f>IF(R16="","",R16)</f>
        <v>2</v>
      </c>
      <c r="N26" s="6"/>
      <c r="O26" s="4"/>
      <c r="P26" s="2"/>
      <c r="Q26" s="3"/>
      <c r="R26" s="3"/>
      <c r="S26" s="3"/>
      <c r="T26" s="3"/>
      <c r="U26" s="3"/>
      <c r="V26" s="4"/>
      <c r="W26" s="2"/>
      <c r="X26" s="5"/>
      <c r="Y26" s="15">
        <f>IF(INDEX(結果!$C$6:$BL$85,$BM25+1,W$87+2)="","",INDEX(結果!$C$6:$BL$85,$BM25+1,W$87+2))</f>
        <v>0</v>
      </c>
      <c r="Z26" s="3" t="s">
        <v>199</v>
      </c>
      <c r="AA26" s="16">
        <f>IF(Y26="","",INDEX(結果!$C$6:$BL$85,$BM25+1,W$87+4))</f>
        <v>0</v>
      </c>
      <c r="AB26" s="6"/>
      <c r="AC26" s="4"/>
      <c r="AD26" s="2"/>
      <c r="AE26" s="5"/>
      <c r="AF26" s="15">
        <f>IF(INDEX(結果!$C$6:$BL$85,$BM25+1,AD$87+2)="","",INDEX(結果!$C$6:$BL$85,$BM25+1,AD$87+2))</f>
        <v>0</v>
      </c>
      <c r="AG26" s="3" t="s">
        <v>199</v>
      </c>
      <c r="AH26" s="16">
        <f>IF(AF26="","",INDEX(結果!$C$6:$BL$85,$BM25+1,AD$87+4))</f>
        <v>0</v>
      </c>
      <c r="AI26" s="6"/>
      <c r="AJ26" s="4"/>
      <c r="AK26" s="2"/>
      <c r="AL26" s="5"/>
      <c r="AM26" s="15">
        <f>IF(INDEX(結果!$C$6:$BL$85,$BM25+1,AK$87+2)="","",INDEX(結果!$C$6:$BL$85,$BM25+1,AK$87+2))</f>
        <v>1</v>
      </c>
      <c r="AN26" s="3" t="s">
        <v>199</v>
      </c>
      <c r="AO26" s="16">
        <f>IF(AM26="","",INDEX(結果!$C$6:$BL$85,$BM25+1,AK$87+4))</f>
        <v>0</v>
      </c>
      <c r="AP26" s="6"/>
      <c r="AQ26" s="4"/>
      <c r="AR26" s="2"/>
      <c r="AS26" s="5"/>
      <c r="AT26" s="15">
        <f>IF(INDEX(結果!$C$6:$BL$85,$BM25+1,AR$87+2)="","",INDEX(結果!$C$6:$BL$85,$BM25+1,AR$87+2))</f>
        <v>0</v>
      </c>
      <c r="AU26" s="3" t="s">
        <v>199</v>
      </c>
      <c r="AV26" s="16">
        <f>IF(AT26="","",INDEX(結果!$C$6:$BL$85,$BM25+1,AR$87+4))</f>
        <v>0</v>
      </c>
      <c r="AW26" s="6"/>
      <c r="AX26" s="4"/>
      <c r="AY26" s="2"/>
      <c r="AZ26" s="5"/>
      <c r="BA26" s="15">
        <f>IF(INDEX(結果!$C$6:$BL$85,$BM25+1,AY$87+2)="","",INDEX(結果!$C$6:$BL$85,$BM25+1,AY$87+2))</f>
        <v>3</v>
      </c>
      <c r="BB26" s="3" t="s">
        <v>199</v>
      </c>
      <c r="BC26" s="16">
        <f>IF(BA26="","",INDEX(結果!$C$6:$BL$85,$BM25+1,AY$87+4))</f>
        <v>0</v>
      </c>
      <c r="BD26" s="6"/>
      <c r="BE26" s="4"/>
      <c r="BF26" s="573"/>
      <c r="BG26" s="561"/>
      <c r="BH26" s="561"/>
      <c r="BI26" s="575"/>
      <c r="BJ26" s="570"/>
      <c r="BK26" s="47"/>
      <c r="BL26" s="599"/>
    </row>
    <row r="27" spans="1:65" ht="10.5" customHeight="1" x14ac:dyDescent="0.25">
      <c r="A27" s="530"/>
      <c r="B27" s="2"/>
      <c r="C27" s="7"/>
      <c r="D27" s="15">
        <f>IF(T7="","",T7)</f>
        <v>0</v>
      </c>
      <c r="E27" s="3" t="s">
        <v>199</v>
      </c>
      <c r="F27" s="16">
        <f>IF(R7="","",R7)</f>
        <v>4</v>
      </c>
      <c r="G27" s="8"/>
      <c r="H27" s="4"/>
      <c r="I27" s="2"/>
      <c r="J27" s="7"/>
      <c r="K27" s="15">
        <f>IF(T17="","",T17)</f>
        <v>0</v>
      </c>
      <c r="L27" s="3" t="s">
        <v>199</v>
      </c>
      <c r="M27" s="16">
        <f>IF(R17="","",R17)</f>
        <v>3</v>
      </c>
      <c r="N27" s="8"/>
      <c r="O27" s="4"/>
      <c r="P27" s="2"/>
      <c r="Q27" s="3"/>
      <c r="R27" s="3"/>
      <c r="S27" s="3"/>
      <c r="T27" s="3"/>
      <c r="U27" s="3"/>
      <c r="V27" s="4"/>
      <c r="W27" s="2"/>
      <c r="X27" s="7"/>
      <c r="Y27" s="15">
        <f>IF(Y26="","",INDEX(結果!$C$6:$BL$85,$BM25+2,W$87+2))</f>
        <v>1</v>
      </c>
      <c r="Z27" s="3" t="s">
        <v>199</v>
      </c>
      <c r="AA27" s="16">
        <f>IF(Y27="","",INDEX(結果!$C$6:$BL$85,$BM25+2,W$87+4))</f>
        <v>0</v>
      </c>
      <c r="AB27" s="8"/>
      <c r="AC27" s="4"/>
      <c r="AD27" s="2"/>
      <c r="AE27" s="7"/>
      <c r="AF27" s="15">
        <f>IF(AF26="","",INDEX(結果!$C$6:$BL$85,$BM25+2,AD$87+2))</f>
        <v>1</v>
      </c>
      <c r="AG27" s="3" t="s">
        <v>199</v>
      </c>
      <c r="AH27" s="16">
        <f>IF(AF27="","",INDEX(結果!$C$6:$BL$85,$BM25+2,AD$87+4))</f>
        <v>3</v>
      </c>
      <c r="AI27" s="8"/>
      <c r="AJ27" s="4"/>
      <c r="AK27" s="2"/>
      <c r="AL27" s="7"/>
      <c r="AM27" s="15">
        <f>IF(AM26="","",INDEX(結果!$C$6:$BL$85,$BM25+2,AK$87+2))</f>
        <v>0</v>
      </c>
      <c r="AN27" s="3" t="s">
        <v>199</v>
      </c>
      <c r="AO27" s="16">
        <f>IF(AM27="","",INDEX(結果!$C$6:$BL$85,$BM25+2,AK$87+4))</f>
        <v>0</v>
      </c>
      <c r="AP27" s="8"/>
      <c r="AQ27" s="4"/>
      <c r="AR27" s="2"/>
      <c r="AS27" s="7"/>
      <c r="AT27" s="15">
        <f>IF(AT26="","",INDEX(結果!$C$6:$BL$85,$BM25+2,AR$87+2))</f>
        <v>2</v>
      </c>
      <c r="AU27" s="3" t="s">
        <v>199</v>
      </c>
      <c r="AV27" s="16">
        <f>IF(AT27="","",INDEX(結果!$C$6:$BL$85,$BM25+2,AR$87+4))</f>
        <v>1</v>
      </c>
      <c r="AW27" s="8"/>
      <c r="AX27" s="4"/>
      <c r="AY27" s="2"/>
      <c r="AZ27" s="7"/>
      <c r="BA27" s="15">
        <f>IF(BA26="","",INDEX(結果!$C$6:$BL$85,$BM25+2,AY$87+2))</f>
        <v>6</v>
      </c>
      <c r="BB27" s="3" t="s">
        <v>199</v>
      </c>
      <c r="BC27" s="16">
        <f>IF(BA27="","",INDEX(結果!$C$6:$BL$85,$BM25+2,AY$87+4))</f>
        <v>0</v>
      </c>
      <c r="BD27" s="8"/>
      <c r="BE27" s="4"/>
      <c r="BF27" s="573"/>
      <c r="BG27" s="561"/>
      <c r="BH27" s="561"/>
      <c r="BI27" s="575"/>
      <c r="BJ27" s="570"/>
      <c r="BK27" s="47"/>
      <c r="BL27" s="599"/>
    </row>
    <row r="28" spans="1:65" ht="11.25" customHeight="1" x14ac:dyDescent="0.25">
      <c r="A28" s="530"/>
      <c r="B28" s="51"/>
      <c r="C28" s="532" t="str">
        <f>IF(B29="","",Q8)</f>
        <v>⑥</v>
      </c>
      <c r="D28" s="532"/>
      <c r="E28" s="540">
        <f>IF(B29="","",S8)</f>
        <v>42519</v>
      </c>
      <c r="F28" s="540"/>
      <c r="G28" s="540"/>
      <c r="H28" s="541"/>
      <c r="I28" s="51"/>
      <c r="J28" s="532" t="str">
        <f>IF(I29="","",Q18)</f>
        <v>⑥</v>
      </c>
      <c r="K28" s="532"/>
      <c r="L28" s="540">
        <f>IF(I29="","",S18)</f>
        <v>42526</v>
      </c>
      <c r="M28" s="540"/>
      <c r="N28" s="540"/>
      <c r="O28" s="541"/>
      <c r="P28" s="2"/>
      <c r="Q28" s="3"/>
      <c r="R28" s="3"/>
      <c r="S28" s="3"/>
      <c r="T28" s="3"/>
      <c r="U28" s="3"/>
      <c r="V28" s="4"/>
      <c r="W28" s="80"/>
      <c r="X28" s="532" t="str">
        <f>IF(W29="","",INDEX(結果!$C$6:$BL$85,$BM25+3,W$87+1))</f>
        <v>⑦</v>
      </c>
      <c r="Y28" s="532"/>
      <c r="Z28" s="546">
        <f>IF(W29="","",INDEX(結果!$C$6:$BL$85,$BM25+3,W$87+3))</f>
        <v>42546</v>
      </c>
      <c r="AA28" s="546"/>
      <c r="AB28" s="546"/>
      <c r="AC28" s="547"/>
      <c r="AD28" s="80"/>
      <c r="AE28" s="532" t="str">
        <f>IF(AD29="","",INDEX(結果!$C$6:$BL$85,$BM25+3,AD$87+1))</f>
        <v>②</v>
      </c>
      <c r="AF28" s="532"/>
      <c r="AG28" s="546">
        <f>IF(AD29="","",INDEX(結果!$C$6:$BL$85,$BM25+3,AD$87+3))</f>
        <v>42493</v>
      </c>
      <c r="AH28" s="546"/>
      <c r="AI28" s="546"/>
      <c r="AJ28" s="547"/>
      <c r="AK28" s="80"/>
      <c r="AL28" s="532" t="str">
        <f>IF(AK29="","",INDEX(結果!$C$6:$BL$85,$BM25+3,AK$87+1))</f>
        <v>①</v>
      </c>
      <c r="AM28" s="532"/>
      <c r="AN28" s="546">
        <f>IF(AK29="","",INDEX(結果!$C$6:$BL$85,$BM25+3,AK$87+3))</f>
        <v>42489</v>
      </c>
      <c r="AO28" s="546"/>
      <c r="AP28" s="546"/>
      <c r="AQ28" s="547"/>
      <c r="AR28" s="80"/>
      <c r="AS28" s="532" t="str">
        <f>IF(AR29="","",INDEX(結果!$C$6:$BL$85,$BM25+3,AR$87+1))</f>
        <v>③</v>
      </c>
      <c r="AT28" s="532"/>
      <c r="AU28" s="546">
        <f>IF(AR29="","",INDEX(結果!$C$6:$BL$85,$BM25+3,AR$87+3))</f>
        <v>42498</v>
      </c>
      <c r="AV28" s="546"/>
      <c r="AW28" s="546"/>
      <c r="AX28" s="547"/>
      <c r="AY28" s="80"/>
      <c r="AZ28" s="532" t="str">
        <f>IF(AY29="","",INDEX(結果!$C$6:$BL$85,$BM25+3,AY$87+1))</f>
        <v>⑦</v>
      </c>
      <c r="BA28" s="532"/>
      <c r="BB28" s="546">
        <f>IF(AY29="","",INDEX(結果!$C$6:$BL$85,$BM25+3,AY$87+3))</f>
        <v>42560</v>
      </c>
      <c r="BC28" s="546"/>
      <c r="BD28" s="546"/>
      <c r="BE28" s="547"/>
      <c r="BF28" s="573"/>
      <c r="BG28" s="561"/>
      <c r="BH28" s="561"/>
      <c r="BI28" s="575"/>
      <c r="BJ28" s="570"/>
      <c r="BK28" s="47"/>
      <c r="BL28" s="599"/>
    </row>
    <row r="29" spans="1:65" ht="11.25" customHeight="1" x14ac:dyDescent="0.25">
      <c r="A29" s="530"/>
      <c r="B29" s="543" t="str">
        <f>IF(P9="","",P9)</f>
        <v>星稜ｻｯｶｰ場</v>
      </c>
      <c r="C29" s="534"/>
      <c r="D29" s="534"/>
      <c r="E29" s="534"/>
      <c r="F29" s="534"/>
      <c r="G29" s="534"/>
      <c r="H29" s="535"/>
      <c r="I29" s="543" t="str">
        <f>IF(P19="","",P19)</f>
        <v>星稜ｻｯｶｰ場</v>
      </c>
      <c r="J29" s="534"/>
      <c r="K29" s="534"/>
      <c r="L29" s="534"/>
      <c r="M29" s="534"/>
      <c r="N29" s="534"/>
      <c r="O29" s="535"/>
      <c r="P29" s="2"/>
      <c r="Q29" s="3"/>
      <c r="R29" s="3"/>
      <c r="S29" s="3"/>
      <c r="T29" s="3"/>
      <c r="U29" s="3"/>
      <c r="V29" s="4"/>
      <c r="W29" s="548" t="str">
        <f>IF(INDEX(結果!$C$6:$BL$85,$BM25+4,W$87)="","",INDEX(結果!$C$6:$BL$85,$BM25+4,W$87))</f>
        <v>能登島Ｂ</v>
      </c>
      <c r="X29" s="532"/>
      <c r="Y29" s="532"/>
      <c r="Z29" s="532"/>
      <c r="AA29" s="532"/>
      <c r="AB29" s="532"/>
      <c r="AC29" s="539"/>
      <c r="AD29" s="548" t="str">
        <f>IF(INDEX(結果!$C$6:$BL$85,$BM25+4,AD$87)="","",INDEX(結果!$C$6:$BL$85,$BM25+4,AD$87))</f>
        <v>金沢交流</v>
      </c>
      <c r="AE29" s="532"/>
      <c r="AF29" s="532"/>
      <c r="AG29" s="532"/>
      <c r="AH29" s="532"/>
      <c r="AI29" s="532"/>
      <c r="AJ29" s="539"/>
      <c r="AK29" s="548" t="str">
        <f>IF(INDEX(結果!$C$6:$BL$85,$BM25+4,AK$87)="","",INDEX(結果!$C$6:$BL$85,$BM25+4,AK$87))</f>
        <v>星稜ｻｯｶｰ場</v>
      </c>
      <c r="AL29" s="532"/>
      <c r="AM29" s="532"/>
      <c r="AN29" s="532"/>
      <c r="AO29" s="532"/>
      <c r="AP29" s="532"/>
      <c r="AQ29" s="539"/>
      <c r="AR29" s="548" t="str">
        <f>IF(INDEX(結果!$C$6:$BL$85,$BM25+4,AR$87)="","",INDEX(結果!$C$6:$BL$85,$BM25+4,AR$87))</f>
        <v>金沢交流</v>
      </c>
      <c r="AS29" s="532"/>
      <c r="AT29" s="532"/>
      <c r="AU29" s="532"/>
      <c r="AV29" s="532"/>
      <c r="AW29" s="532"/>
      <c r="AX29" s="539"/>
      <c r="AY29" s="548" t="str">
        <f>IF(INDEX(結果!$C$6:$BL$85,$BM25+4,AY$87)="","",INDEX(結果!$C$6:$BL$85,$BM25+4,AY$87))</f>
        <v>星稜ｻｯｶｰ場</v>
      </c>
      <c r="AZ29" s="532"/>
      <c r="BA29" s="532"/>
      <c r="BB29" s="532"/>
      <c r="BC29" s="532"/>
      <c r="BD29" s="532"/>
      <c r="BE29" s="539"/>
      <c r="BF29" s="573"/>
      <c r="BG29" s="561"/>
      <c r="BH29" s="561"/>
      <c r="BI29" s="575"/>
      <c r="BJ29" s="570"/>
      <c r="BK29" s="47"/>
      <c r="BL29" s="599"/>
    </row>
    <row r="30" spans="1:65" ht="11.25" customHeight="1" x14ac:dyDescent="0.25">
      <c r="A30" s="530"/>
      <c r="B30" s="544">
        <f>IF(D32="","",D31+D32)</f>
        <v>0</v>
      </c>
      <c r="C30" s="537"/>
      <c r="D30" s="537"/>
      <c r="E30" s="9" t="str">
        <f>IF(D32="","",IF(B30=F30,"△",IF(B30&gt;F30,"○","●")))</f>
        <v>●</v>
      </c>
      <c r="F30" s="537">
        <f>IF(F32="","",F31+F32)</f>
        <v>2</v>
      </c>
      <c r="G30" s="537"/>
      <c r="H30" s="542"/>
      <c r="I30" s="544" t="str">
        <f>IF(K32="","",K31+K32)</f>
        <v/>
      </c>
      <c r="J30" s="537"/>
      <c r="K30" s="537"/>
      <c r="L30" s="9" t="str">
        <f>IF(K32="","",IF(I30=M30,"△",IF(I30&gt;M30,"○","●")))</f>
        <v/>
      </c>
      <c r="M30" s="537" t="str">
        <f>IF(M32="","",M31+M32)</f>
        <v/>
      </c>
      <c r="N30" s="537"/>
      <c r="O30" s="542"/>
      <c r="P30" s="2"/>
      <c r="Q30" s="3"/>
      <c r="R30" s="3"/>
      <c r="S30" s="3"/>
      <c r="T30" s="3"/>
      <c r="U30" s="3"/>
      <c r="V30" s="4"/>
      <c r="W30" s="544" t="str">
        <f>IF(Y32="","",Y31+Y32)</f>
        <v/>
      </c>
      <c r="X30" s="537"/>
      <c r="Y30" s="537"/>
      <c r="Z30" s="9" t="str">
        <f>IF(Y32="","",IF(W30=AA30,"△",IF(W30&gt;AA30,"○","●")))</f>
        <v/>
      </c>
      <c r="AA30" s="537" t="str">
        <f>IF(AA32="","",AA31+AA32)</f>
        <v/>
      </c>
      <c r="AB30" s="537"/>
      <c r="AC30" s="542"/>
      <c r="AD30" s="544" t="str">
        <f>IF(AF32="","",AF31+AF32)</f>
        <v/>
      </c>
      <c r="AE30" s="537"/>
      <c r="AF30" s="537"/>
      <c r="AG30" s="9" t="str">
        <f>IF(AF32="","",IF(AD30=AH30,"△",IF(AD30&gt;AH30,"○","●")))</f>
        <v/>
      </c>
      <c r="AH30" s="537" t="str">
        <f>IF(AH32="","",AH31+AH32)</f>
        <v/>
      </c>
      <c r="AI30" s="537"/>
      <c r="AJ30" s="542"/>
      <c r="AK30" s="544">
        <f>IF(AM32="","",AM31+AM32)</f>
        <v>3</v>
      </c>
      <c r="AL30" s="537"/>
      <c r="AM30" s="537"/>
      <c r="AN30" s="9" t="str">
        <f>IF(AM32="","",IF(AK30=AO30,"△",IF(AK30&gt;AO30,"○","●")))</f>
        <v>○</v>
      </c>
      <c r="AO30" s="537">
        <f>IF(AO32="","",AO31+AO32)</f>
        <v>1</v>
      </c>
      <c r="AP30" s="537"/>
      <c r="AQ30" s="542"/>
      <c r="AR30" s="544">
        <f>IF(AT32="","",AT31+AT32)</f>
        <v>3</v>
      </c>
      <c r="AS30" s="537"/>
      <c r="AT30" s="537"/>
      <c r="AU30" s="9" t="str">
        <f>IF(AT32="","",IF(AR30=AV30,"△",IF(AR30&gt;AV30,"○","●")))</f>
        <v>○</v>
      </c>
      <c r="AV30" s="537">
        <f>IF(AV32="","",AV31+AV32)</f>
        <v>1</v>
      </c>
      <c r="AW30" s="537"/>
      <c r="AX30" s="542"/>
      <c r="AY30" s="544">
        <f>IF(BA32="","",BA31+BA32)</f>
        <v>8</v>
      </c>
      <c r="AZ30" s="537"/>
      <c r="BA30" s="537"/>
      <c r="BB30" s="9" t="str">
        <f>IF(BA32="","",IF(AY30=BC30,"△",IF(AY30&gt;BC30,"○","●")))</f>
        <v>○</v>
      </c>
      <c r="BC30" s="537">
        <f>IF(BC32="","",BC31+BC32)</f>
        <v>1</v>
      </c>
      <c r="BD30" s="537"/>
      <c r="BE30" s="542"/>
      <c r="BF30" s="573"/>
      <c r="BG30" s="561"/>
      <c r="BH30" s="561"/>
      <c r="BI30" s="575"/>
      <c r="BJ30" s="570"/>
      <c r="BK30" s="47"/>
      <c r="BL30" s="599"/>
    </row>
    <row r="31" spans="1:65" ht="11.25" customHeight="1" x14ac:dyDescent="0.25">
      <c r="A31" s="530"/>
      <c r="B31" s="2"/>
      <c r="C31" s="5"/>
      <c r="D31" s="15">
        <f>IF(T11="","",T11)</f>
        <v>0</v>
      </c>
      <c r="E31" s="3" t="s">
        <v>199</v>
      </c>
      <c r="F31" s="16">
        <f>IF(R11="","",R11)</f>
        <v>1</v>
      </c>
      <c r="G31" s="6"/>
      <c r="H31" s="4"/>
      <c r="I31" s="2"/>
      <c r="J31" s="5"/>
      <c r="K31" s="15" t="str">
        <f>IF(T21="","",T21)</f>
        <v/>
      </c>
      <c r="L31" s="3" t="s">
        <v>199</v>
      </c>
      <c r="M31" s="16" t="str">
        <f>IF(R21="","",R21)</f>
        <v/>
      </c>
      <c r="N31" s="6"/>
      <c r="O31" s="4"/>
      <c r="P31" s="2"/>
      <c r="Q31" s="3"/>
      <c r="R31" s="3"/>
      <c r="S31" s="3"/>
      <c r="T31" s="3"/>
      <c r="U31" s="3"/>
      <c r="V31" s="4"/>
      <c r="W31" s="2"/>
      <c r="X31" s="5"/>
      <c r="Y31" s="15" t="str">
        <f>IF(INDEX(結果!$C$6:$BL$85,$BM25+6,W$87+2)="","",INDEX(結果!$C$6:$BL$85,$BM25+6,W$87+2))</f>
        <v/>
      </c>
      <c r="Z31" s="3" t="s">
        <v>199</v>
      </c>
      <c r="AA31" s="16" t="str">
        <f>IF(Y31="","",INDEX(結果!$C$6:$BL$85,$BM25+6,W$87+4))</f>
        <v/>
      </c>
      <c r="AB31" s="6"/>
      <c r="AC31" s="4"/>
      <c r="AD31" s="2"/>
      <c r="AE31" s="5"/>
      <c r="AF31" s="15" t="str">
        <f>IF(INDEX(結果!$C$6:$BL$85,$BM25+6,AD$87+2)="","",INDEX(結果!$C$6:$BL$85,$BM25+6,AD$87+2))</f>
        <v/>
      </c>
      <c r="AG31" s="3" t="s">
        <v>199</v>
      </c>
      <c r="AH31" s="16" t="str">
        <f>IF(AF31="","",INDEX(結果!$C$6:$BL$85,$BM25+6,AD$87+4))</f>
        <v/>
      </c>
      <c r="AI31" s="6"/>
      <c r="AJ31" s="4"/>
      <c r="AK31" s="2"/>
      <c r="AL31" s="5"/>
      <c r="AM31" s="15">
        <f>IF(INDEX(結果!$C$6:$BL$85,$BM25+6,AK$87+2)="","",INDEX(結果!$C$6:$BL$85,$BM25+6,AK$87+2))</f>
        <v>1</v>
      </c>
      <c r="AN31" s="3" t="s">
        <v>199</v>
      </c>
      <c r="AO31" s="16">
        <f>IF(AM31="","",INDEX(結果!$C$6:$BL$85,$BM25+6,AK$87+4))</f>
        <v>1</v>
      </c>
      <c r="AP31" s="6"/>
      <c r="AQ31" s="4"/>
      <c r="AR31" s="2"/>
      <c r="AS31" s="5"/>
      <c r="AT31" s="15">
        <f>IF(INDEX(結果!$C$6:$BL$85,$BM25+6,AR$87+2)="","",INDEX(結果!$C$6:$BL$85,$BM25+6,AR$87+2))</f>
        <v>2</v>
      </c>
      <c r="AU31" s="3" t="s">
        <v>199</v>
      </c>
      <c r="AV31" s="16">
        <f>IF(AT31="","",INDEX(結果!$C$6:$BL$85,$BM25+6,AR$87+4))</f>
        <v>0</v>
      </c>
      <c r="AW31" s="6"/>
      <c r="AX31" s="4"/>
      <c r="AY31" s="2"/>
      <c r="AZ31" s="5"/>
      <c r="BA31" s="15">
        <f>IF(INDEX(結果!$C$6:$BL$85,$BM25+6,AY$87+2)="","",INDEX(結果!$C$6:$BL$85,$BM25+6,AY$87+2))</f>
        <v>5</v>
      </c>
      <c r="BB31" s="3" t="s">
        <v>199</v>
      </c>
      <c r="BC31" s="16">
        <f>IF(BA31="","",INDEX(結果!$C$6:$BL$85,$BM25+6,AY$87+4))</f>
        <v>1</v>
      </c>
      <c r="BD31" s="6"/>
      <c r="BE31" s="4"/>
      <c r="BF31" s="573"/>
      <c r="BG31" s="561"/>
      <c r="BH31" s="561"/>
      <c r="BI31" s="575"/>
      <c r="BJ31" s="570"/>
      <c r="BK31" s="47"/>
      <c r="BL31" s="599"/>
    </row>
    <row r="32" spans="1:65" ht="11.25" customHeight="1" x14ac:dyDescent="0.25">
      <c r="A32" s="530"/>
      <c r="B32" s="2"/>
      <c r="C32" s="7"/>
      <c r="D32" s="15">
        <f>IF(T12="","",T12)</f>
        <v>0</v>
      </c>
      <c r="E32" s="3" t="s">
        <v>199</v>
      </c>
      <c r="F32" s="16">
        <f>IF(R12="","",R12)</f>
        <v>1</v>
      </c>
      <c r="G32" s="8"/>
      <c r="H32" s="4"/>
      <c r="I32" s="2"/>
      <c r="J32" s="7"/>
      <c r="K32" s="15" t="str">
        <f>IF(T22="","",T22)</f>
        <v/>
      </c>
      <c r="L32" s="3" t="s">
        <v>199</v>
      </c>
      <c r="M32" s="16" t="str">
        <f>IF(R22="","",R22)</f>
        <v/>
      </c>
      <c r="N32" s="8"/>
      <c r="O32" s="4"/>
      <c r="P32" s="2"/>
      <c r="Q32" s="3"/>
      <c r="R32" s="3"/>
      <c r="S32" s="3"/>
      <c r="T32" s="3"/>
      <c r="U32" s="3"/>
      <c r="V32" s="4"/>
      <c r="W32" s="2"/>
      <c r="X32" s="7"/>
      <c r="Y32" s="15" t="str">
        <f>IF(Y31="","",INDEX(結果!$C$6:$BL$85,$BM25+7,W$87+2))</f>
        <v/>
      </c>
      <c r="Z32" s="3" t="s">
        <v>199</v>
      </c>
      <c r="AA32" s="16" t="str">
        <f>IF(Y32="","",INDEX(結果!$C$6:$BL$85,$BM25+7,W$87+4))</f>
        <v/>
      </c>
      <c r="AB32" s="8"/>
      <c r="AC32" s="4"/>
      <c r="AD32" s="2"/>
      <c r="AE32" s="7"/>
      <c r="AF32" s="15" t="str">
        <f>IF(AF31="","",INDEX(結果!$C$6:$BL$85,$BM25+7,AD$87+2))</f>
        <v/>
      </c>
      <c r="AG32" s="3" t="s">
        <v>199</v>
      </c>
      <c r="AH32" s="16" t="str">
        <f>IF(AF32="","",INDEX(結果!$C$6:$BL$85,$BM25+7,AD$87+4))</f>
        <v/>
      </c>
      <c r="AI32" s="8"/>
      <c r="AJ32" s="4"/>
      <c r="AK32" s="2"/>
      <c r="AL32" s="7"/>
      <c r="AM32" s="15">
        <f>IF(AM31="","",INDEX(結果!$C$6:$BL$85,$BM25+7,AK$87+2))</f>
        <v>2</v>
      </c>
      <c r="AN32" s="3" t="s">
        <v>199</v>
      </c>
      <c r="AO32" s="16">
        <f>IF(AM32="","",INDEX(結果!$C$6:$BL$85,$BM25+7,AK$87+4))</f>
        <v>0</v>
      </c>
      <c r="AP32" s="8"/>
      <c r="AQ32" s="4"/>
      <c r="AR32" s="2"/>
      <c r="AS32" s="7"/>
      <c r="AT32" s="15">
        <f>IF(AT31="","",INDEX(結果!$C$6:$BL$85,$BM25+7,AR$87+2))</f>
        <v>1</v>
      </c>
      <c r="AU32" s="3" t="s">
        <v>199</v>
      </c>
      <c r="AV32" s="16">
        <f>IF(AT32="","",INDEX(結果!$C$6:$BL$85,$BM25+7,AR$87+4))</f>
        <v>1</v>
      </c>
      <c r="AW32" s="8"/>
      <c r="AX32" s="4"/>
      <c r="AY32" s="2"/>
      <c r="AZ32" s="7"/>
      <c r="BA32" s="15">
        <f>IF(BA31="","",INDEX(結果!$C$6:$BL$85,$BM25+7,AY$87+2))</f>
        <v>3</v>
      </c>
      <c r="BB32" s="3" t="s">
        <v>199</v>
      </c>
      <c r="BC32" s="16">
        <f>IF(BA32="","",INDEX(結果!$C$6:$BL$85,$BM25+7,AY$87+4))</f>
        <v>0</v>
      </c>
      <c r="BD32" s="8"/>
      <c r="BE32" s="4"/>
      <c r="BF32" s="573"/>
      <c r="BG32" s="561"/>
      <c r="BH32" s="561"/>
      <c r="BI32" s="575"/>
      <c r="BJ32" s="570"/>
      <c r="BK32" s="47"/>
      <c r="BL32" s="599"/>
    </row>
    <row r="33" spans="1:65" ht="11.25" customHeight="1" x14ac:dyDescent="0.25">
      <c r="A33" s="530"/>
      <c r="B33" s="51"/>
      <c r="C33" s="532" t="str">
        <f>IF(B34="","",Q13)</f>
        <v>⑧</v>
      </c>
      <c r="D33" s="532"/>
      <c r="E33" s="540">
        <f>IF(B34="","",S13)</f>
        <v>42574</v>
      </c>
      <c r="F33" s="540"/>
      <c r="G33" s="540"/>
      <c r="H33" s="541"/>
      <c r="I33" s="51"/>
      <c r="J33" s="532" t="str">
        <f>IF(I34="","",Q23)</f>
        <v>②</v>
      </c>
      <c r="K33" s="532"/>
      <c r="L33" s="540">
        <f>IF(I34="","",S23)</f>
        <v>42673</v>
      </c>
      <c r="M33" s="540"/>
      <c r="N33" s="540"/>
      <c r="O33" s="541"/>
      <c r="P33" s="2"/>
      <c r="Q33" s="3"/>
      <c r="R33" s="3"/>
      <c r="S33" s="3"/>
      <c r="T33" s="3"/>
      <c r="U33" s="3"/>
      <c r="V33" s="4"/>
      <c r="W33" s="80"/>
      <c r="X33" s="532" t="str">
        <f>IF(W34="","",INDEX(結果!$C$6:$BL$85,$BM25+8,W$87+1))</f>
        <v>②</v>
      </c>
      <c r="Y33" s="532"/>
      <c r="Z33" s="546">
        <f>IF(W34="","",INDEX(結果!$C$6:$BL$85,$BM25+8,W$87+3))</f>
        <v>42677</v>
      </c>
      <c r="AA33" s="546"/>
      <c r="AB33" s="546"/>
      <c r="AC33" s="547"/>
      <c r="AD33" s="80"/>
      <c r="AE33" s="532" t="str">
        <f>IF(AD34="","",INDEX(結果!$C$6:$BL$85,$BM25+8,AD$87+1))</f>
        <v>②</v>
      </c>
      <c r="AF33" s="532"/>
      <c r="AG33" s="546">
        <f>IF(AD34="","",INDEX(結果!$C$6:$BL$85,$BM25+8,AD$87+3))</f>
        <v>42659</v>
      </c>
      <c r="AH33" s="546"/>
      <c r="AI33" s="546"/>
      <c r="AJ33" s="547"/>
      <c r="AK33" s="80"/>
      <c r="AL33" s="532" t="str">
        <f>IF(AK34="","",INDEX(結果!$C$6:$BL$85,$BM25+8,AK$87+1))</f>
        <v>②</v>
      </c>
      <c r="AM33" s="532"/>
      <c r="AN33" s="546">
        <f>IF(AK34="","",INDEX(結果!$C$6:$BL$85,$BM25+8,AK$87+3))</f>
        <v>42624</v>
      </c>
      <c r="AO33" s="546"/>
      <c r="AP33" s="546"/>
      <c r="AQ33" s="547"/>
      <c r="AR33" s="80"/>
      <c r="AS33" s="532" t="str">
        <f>IF(AR34="","",INDEX(結果!$C$6:$BL$85,$BM25+8,AR$87+1))</f>
        <v>②</v>
      </c>
      <c r="AT33" s="532"/>
      <c r="AU33" s="546">
        <f>IF(AR34="","",INDEX(結果!$C$6:$BL$85,$BM25+8,AR$87+3))</f>
        <v>42645</v>
      </c>
      <c r="AV33" s="546"/>
      <c r="AW33" s="546"/>
      <c r="AX33" s="547"/>
      <c r="AY33" s="80"/>
      <c r="AZ33" s="532" t="str">
        <f>IF(AY34="","",INDEX(結果!$C$6:$BL$85,$BM25+8,AY$87+1))</f>
        <v>②</v>
      </c>
      <c r="BA33" s="532"/>
      <c r="BB33" s="546">
        <f>IF(AY34="","",INDEX(結果!$C$6:$BL$85,$BM25+8,AY$87+3))</f>
        <v>42617</v>
      </c>
      <c r="BC33" s="546"/>
      <c r="BD33" s="546"/>
      <c r="BE33" s="547"/>
      <c r="BF33" s="573"/>
      <c r="BG33" s="561"/>
      <c r="BH33" s="561"/>
      <c r="BI33" s="575"/>
      <c r="BJ33" s="570"/>
      <c r="BK33" s="47"/>
      <c r="BL33" s="599"/>
    </row>
    <row r="34" spans="1:65" ht="11.25" customHeight="1" x14ac:dyDescent="0.25">
      <c r="A34" s="531"/>
      <c r="B34" s="543" t="str">
        <f>IF(P14="","",P14)</f>
        <v>北陸大FPB</v>
      </c>
      <c r="C34" s="534"/>
      <c r="D34" s="534"/>
      <c r="E34" s="534"/>
      <c r="F34" s="534"/>
      <c r="G34" s="534"/>
      <c r="H34" s="535"/>
      <c r="I34" s="543" t="str">
        <f>IF(P24="","",P24)</f>
        <v>星稜ｻｯｶｰ場</v>
      </c>
      <c r="J34" s="534"/>
      <c r="K34" s="534"/>
      <c r="L34" s="534"/>
      <c r="M34" s="534"/>
      <c r="N34" s="534"/>
      <c r="O34" s="535"/>
      <c r="P34" s="2"/>
      <c r="Q34" s="3"/>
      <c r="R34" s="3"/>
      <c r="S34" s="3"/>
      <c r="T34" s="3"/>
      <c r="U34" s="3"/>
      <c r="V34" s="4"/>
      <c r="W34" s="543" t="str">
        <f>IF(INDEX(結果!$C$6:$BL$85,$BM25+9,W$87)="","",INDEX(結果!$C$6:$BL$85,$BM25+9,W$87))</f>
        <v>星稜ｻｯｶｰ場</v>
      </c>
      <c r="X34" s="534"/>
      <c r="Y34" s="534"/>
      <c r="Z34" s="534"/>
      <c r="AA34" s="534"/>
      <c r="AB34" s="534"/>
      <c r="AC34" s="535"/>
      <c r="AD34" s="543" t="str">
        <f>IF(INDEX(結果!$C$6:$BL$85,$BM25+9,AD$87)="","",INDEX(結果!$C$6:$BL$85,$BM25+9,AD$87))</f>
        <v>かほく市S</v>
      </c>
      <c r="AE34" s="534"/>
      <c r="AF34" s="534"/>
      <c r="AG34" s="534"/>
      <c r="AH34" s="534"/>
      <c r="AI34" s="534"/>
      <c r="AJ34" s="535"/>
      <c r="AK34" s="543" t="str">
        <f>IF(INDEX(結果!$C$6:$BL$85,$BM25+9,AK$87)="","",INDEX(結果!$C$6:$BL$85,$BM25+9,AK$87))</f>
        <v>加賀陸上</v>
      </c>
      <c r="AL34" s="534"/>
      <c r="AM34" s="534"/>
      <c r="AN34" s="534"/>
      <c r="AO34" s="534"/>
      <c r="AP34" s="534"/>
      <c r="AQ34" s="535"/>
      <c r="AR34" s="543" t="str">
        <f>IF(INDEX(結果!$C$6:$BL$85,$BM25+9,AR$87)="","",INDEX(結果!$C$6:$BL$85,$BM25+9,AR$87))</f>
        <v>かほく市S</v>
      </c>
      <c r="AS34" s="534"/>
      <c r="AT34" s="534"/>
      <c r="AU34" s="534"/>
      <c r="AV34" s="534"/>
      <c r="AW34" s="534"/>
      <c r="AX34" s="535"/>
      <c r="AY34" s="543" t="str">
        <f>IF(INDEX(結果!$C$6:$BL$85,$BM25+9,AY$87)="","",INDEX(結果!$C$6:$BL$85,$BM25+9,AY$87))</f>
        <v>小松市民</v>
      </c>
      <c r="AZ34" s="534"/>
      <c r="BA34" s="534"/>
      <c r="BB34" s="534"/>
      <c r="BC34" s="534"/>
      <c r="BD34" s="534"/>
      <c r="BE34" s="535"/>
      <c r="BF34" s="589"/>
      <c r="BG34" s="562"/>
      <c r="BH34" s="562"/>
      <c r="BI34" s="584"/>
      <c r="BJ34" s="571"/>
      <c r="BK34" s="47"/>
      <c r="BL34" s="599"/>
    </row>
    <row r="35" spans="1:65" ht="11.25" customHeight="1" x14ac:dyDescent="0.25">
      <c r="A35" s="529" t="str">
        <f>INDEX(結果!$B$6:$BL$85,MATCH($BL35,結果!BP$6:BP$85,0),1)</f>
        <v>セブン能登
1st</v>
      </c>
      <c r="B35" s="544">
        <f>IF(D37="","",D36+D37)</f>
        <v>1</v>
      </c>
      <c r="C35" s="537"/>
      <c r="D35" s="537"/>
      <c r="E35" s="9" t="str">
        <f>IF(D37="","",IF(B35=F35,"△",IF(B35&gt;F35,"○","●")))</f>
        <v>△</v>
      </c>
      <c r="F35" s="537">
        <f>IF(F37="","",F36+F37)</f>
        <v>1</v>
      </c>
      <c r="G35" s="537"/>
      <c r="H35" s="542"/>
      <c r="I35" s="544">
        <f>IF(K37="","",K36+K37)</f>
        <v>1</v>
      </c>
      <c r="J35" s="537"/>
      <c r="K35" s="537"/>
      <c r="L35" s="9" t="str">
        <f>IF(K37="","",IF(I35=M35,"△",IF(I35&gt;M35,"○","●")))</f>
        <v>△</v>
      </c>
      <c r="M35" s="537">
        <f>IF(M37="","",M36+M37)</f>
        <v>1</v>
      </c>
      <c r="N35" s="537"/>
      <c r="O35" s="542"/>
      <c r="P35" s="544">
        <f>IF(R37="","",R36+R37)</f>
        <v>0</v>
      </c>
      <c r="Q35" s="537"/>
      <c r="R35" s="537"/>
      <c r="S35" s="9" t="str">
        <f>IF(R37="","",IF(P35=T35,"△",IF(P35&gt;T35,"○","●")))</f>
        <v>●</v>
      </c>
      <c r="T35" s="537">
        <f>IF(T37="","",T36+T37)</f>
        <v>1</v>
      </c>
      <c r="U35" s="537"/>
      <c r="V35" s="542"/>
      <c r="W35" s="5"/>
      <c r="X35" s="85"/>
      <c r="Y35" s="85"/>
      <c r="Z35" s="85"/>
      <c r="AA35" s="85"/>
      <c r="AB35" s="85"/>
      <c r="AC35" s="6"/>
      <c r="AD35" s="544">
        <f>IF(AF37="","",AF36+AF37)</f>
        <v>1</v>
      </c>
      <c r="AE35" s="537"/>
      <c r="AF35" s="537"/>
      <c r="AG35" s="9" t="str">
        <f>IF(AF37="","",IF(AD35=AH35,"△",IF(AD35&gt;AH35,"○","●")))</f>
        <v>●</v>
      </c>
      <c r="AH35" s="537">
        <f>IF(AH37="","",AH36+AH37)</f>
        <v>3</v>
      </c>
      <c r="AI35" s="537"/>
      <c r="AJ35" s="542"/>
      <c r="AK35" s="544">
        <f>IF(AM37="","",AM36+AM37)</f>
        <v>2</v>
      </c>
      <c r="AL35" s="537"/>
      <c r="AM35" s="537"/>
      <c r="AN35" s="9" t="str">
        <f>IF(AM37="","",IF(AK35=AO35,"△",IF(AK35&gt;AO35,"○","●")))</f>
        <v>○</v>
      </c>
      <c r="AO35" s="537">
        <f>IF(AO37="","",AO36+AO37)</f>
        <v>1</v>
      </c>
      <c r="AP35" s="537"/>
      <c r="AQ35" s="542"/>
      <c r="AR35" s="544">
        <f>IF(AT37="","",AT36+AT37)</f>
        <v>2</v>
      </c>
      <c r="AS35" s="537"/>
      <c r="AT35" s="537"/>
      <c r="AU35" s="9" t="str">
        <f>IF(AT37="","",IF(AR35=AV35,"△",IF(AR35&gt;AV35,"○","●")))</f>
        <v>○</v>
      </c>
      <c r="AV35" s="537">
        <f>IF(AV37="","",AV36+AV37)</f>
        <v>1</v>
      </c>
      <c r="AW35" s="537"/>
      <c r="AX35" s="542"/>
      <c r="AY35" s="544">
        <f>IF(BA37="","",BA36+BA37)</f>
        <v>5</v>
      </c>
      <c r="AZ35" s="537"/>
      <c r="BA35" s="537"/>
      <c r="BB35" s="9" t="str">
        <f>IF(BA37="","",IF(AY35=BC35,"△",IF(AY35&gt;BC35,"○","●")))</f>
        <v>○</v>
      </c>
      <c r="BC35" s="537">
        <f>IF(BC37="","",BC36+BC37)</f>
        <v>0</v>
      </c>
      <c r="BD35" s="537"/>
      <c r="BE35" s="566"/>
      <c r="BF35" s="588">
        <f>IF(COUNT(B36:BE36)=0,"",COUNTIF(Z$5:Z$84,"●")*3+COUNTIF(Z$5:Z$84,"△"))</f>
        <v>20</v>
      </c>
      <c r="BG35" s="560">
        <f>IF(BF35="","",SUM(AA$5:AA$84)/2)</f>
        <v>23</v>
      </c>
      <c r="BH35" s="560">
        <f>IF(BF35="","",SUM(W$5:W$84))</f>
        <v>12</v>
      </c>
      <c r="BI35" s="583">
        <f>IF(BF35="","",BG35-BH35)</f>
        <v>11</v>
      </c>
      <c r="BJ35" s="569">
        <f>IF(BF35="","",RANK(BK35,BK$5:BK$84))</f>
        <v>4</v>
      </c>
      <c r="BK35" s="47">
        <f>IF(BF35="",-ROW()*10000,BF35*10000+BI35*100+BG35+COUNTIF(B35:BE35,"&gt;=0")/20)</f>
        <v>201123.7</v>
      </c>
      <c r="BL35" s="599">
        <v>4</v>
      </c>
      <c r="BM35" s="1">
        <f>INDEX(結果!BM$6:BN$85,MATCH(BL35,結果!BP$6:BP$85,0),2)</f>
        <v>11</v>
      </c>
    </row>
    <row r="36" spans="1:65" ht="10.5" customHeight="1" x14ac:dyDescent="0.25">
      <c r="A36" s="530"/>
      <c r="B36" s="2"/>
      <c r="C36" s="5"/>
      <c r="D36" s="15">
        <f>IF(AA6="","",AA6)</f>
        <v>1</v>
      </c>
      <c r="E36" s="3" t="s">
        <v>199</v>
      </c>
      <c r="F36" s="16">
        <f>IF(Y6="","",Y6)</f>
        <v>0</v>
      </c>
      <c r="G36" s="6"/>
      <c r="H36" s="4"/>
      <c r="I36" s="2"/>
      <c r="J36" s="5"/>
      <c r="K36" s="15">
        <f>IF(AA16="","",AA16)</f>
        <v>1</v>
      </c>
      <c r="L36" s="3" t="s">
        <v>199</v>
      </c>
      <c r="M36" s="16">
        <f>IF(Y16="","",Y16)</f>
        <v>0</v>
      </c>
      <c r="N36" s="6"/>
      <c r="O36" s="4"/>
      <c r="P36" s="2"/>
      <c r="Q36" s="5"/>
      <c r="R36" s="15">
        <f>IF(AA26="","",AA26)</f>
        <v>0</v>
      </c>
      <c r="S36" s="3" t="s">
        <v>199</v>
      </c>
      <c r="T36" s="16">
        <f>IF(Y26="","",Y26)</f>
        <v>0</v>
      </c>
      <c r="U36" s="6"/>
      <c r="V36" s="4"/>
      <c r="W36" s="2"/>
      <c r="X36" s="3"/>
      <c r="Y36" s="3"/>
      <c r="Z36" s="3"/>
      <c r="AA36" s="3"/>
      <c r="AB36" s="3"/>
      <c r="AC36" s="4"/>
      <c r="AD36" s="2"/>
      <c r="AE36" s="5"/>
      <c r="AF36" s="15">
        <f>IF(INDEX(結果!$C$6:$BL$85,$BM35+1,AD$87+2)="","",INDEX(結果!$C$6:$BL$85,$BM35+1,AD$87+2))</f>
        <v>0</v>
      </c>
      <c r="AG36" s="3" t="s">
        <v>199</v>
      </c>
      <c r="AH36" s="16">
        <f>IF(AF36="","",INDEX(結果!$C$6:$BL$85,$BM35+1,AD$87+4))</f>
        <v>2</v>
      </c>
      <c r="AI36" s="6"/>
      <c r="AJ36" s="4"/>
      <c r="AK36" s="2"/>
      <c r="AL36" s="5"/>
      <c r="AM36" s="15">
        <f>IF(INDEX(結果!$C$6:$BL$85,$BM35+1,AK$87+2)="","",INDEX(結果!$C$6:$BL$85,$BM35+1,AK$87+2))</f>
        <v>1</v>
      </c>
      <c r="AN36" s="3" t="s">
        <v>199</v>
      </c>
      <c r="AO36" s="16">
        <f>IF(AM36="","",INDEX(結果!$C$6:$BL$85,$BM35+1,AK$87+4))</f>
        <v>0</v>
      </c>
      <c r="AP36" s="6"/>
      <c r="AQ36" s="4"/>
      <c r="AR36" s="2"/>
      <c r="AS36" s="5"/>
      <c r="AT36" s="15">
        <f>IF(INDEX(結果!$C$6:$BL$85,$BM35+1,AR$87+2)="","",INDEX(結果!$C$6:$BL$85,$BM35+1,AR$87+2))</f>
        <v>0</v>
      </c>
      <c r="AU36" s="3" t="s">
        <v>199</v>
      </c>
      <c r="AV36" s="16">
        <f>IF(AT36="","",INDEX(結果!$C$6:$BL$85,$BM35+1,AR$87+4))</f>
        <v>0</v>
      </c>
      <c r="AW36" s="6"/>
      <c r="AX36" s="4"/>
      <c r="AY36" s="2"/>
      <c r="AZ36" s="5"/>
      <c r="BA36" s="15">
        <f>IF(INDEX(結果!$C$6:$BL$85,$BM35+1,AY$87+2)="","",INDEX(結果!$C$6:$BL$85,$BM35+1,AY$87+2))</f>
        <v>3</v>
      </c>
      <c r="BB36" s="3" t="s">
        <v>199</v>
      </c>
      <c r="BC36" s="16">
        <f>IF(BA36="","",INDEX(結果!$C$6:$BL$85,$BM35+1,AY$87+4))</f>
        <v>0</v>
      </c>
      <c r="BD36" s="6"/>
      <c r="BE36" s="4"/>
      <c r="BF36" s="573"/>
      <c r="BG36" s="561"/>
      <c r="BH36" s="561"/>
      <c r="BI36" s="575"/>
      <c r="BJ36" s="570"/>
      <c r="BK36" s="47"/>
      <c r="BL36" s="599"/>
    </row>
    <row r="37" spans="1:65" ht="10.5" customHeight="1" x14ac:dyDescent="0.25">
      <c r="A37" s="530"/>
      <c r="B37" s="2"/>
      <c r="C37" s="7"/>
      <c r="D37" s="15">
        <f>IF(AA7="","",AA7)</f>
        <v>0</v>
      </c>
      <c r="E37" s="3" t="s">
        <v>199</v>
      </c>
      <c r="F37" s="16">
        <f>IF(Y7="","",Y7)</f>
        <v>1</v>
      </c>
      <c r="G37" s="8"/>
      <c r="H37" s="4"/>
      <c r="I37" s="2"/>
      <c r="J37" s="7"/>
      <c r="K37" s="15">
        <f>IF(AA17="","",AA17)</f>
        <v>0</v>
      </c>
      <c r="L37" s="3" t="s">
        <v>199</v>
      </c>
      <c r="M37" s="16">
        <f>IF(Y17="","",Y17)</f>
        <v>1</v>
      </c>
      <c r="N37" s="8"/>
      <c r="O37" s="4"/>
      <c r="P37" s="2"/>
      <c r="Q37" s="7"/>
      <c r="R37" s="15">
        <f>IF(AA27="","",AA27)</f>
        <v>0</v>
      </c>
      <c r="S37" s="3" t="s">
        <v>199</v>
      </c>
      <c r="T37" s="16">
        <f>IF(Y27="","",Y27)</f>
        <v>1</v>
      </c>
      <c r="U37" s="8"/>
      <c r="V37" s="4"/>
      <c r="W37" s="2"/>
      <c r="X37" s="3"/>
      <c r="Y37" s="3"/>
      <c r="Z37" s="3"/>
      <c r="AA37" s="3"/>
      <c r="AB37" s="3"/>
      <c r="AC37" s="4"/>
      <c r="AD37" s="2"/>
      <c r="AE37" s="7"/>
      <c r="AF37" s="15">
        <f>IF(AF36="","",INDEX(結果!$C$6:$BL$85,$BM35+2,AD$87+2))</f>
        <v>1</v>
      </c>
      <c r="AG37" s="3" t="s">
        <v>199</v>
      </c>
      <c r="AH37" s="16">
        <f>IF(AF37="","",INDEX(結果!$C$6:$BL$85,$BM35+2,AD$87+4))</f>
        <v>1</v>
      </c>
      <c r="AI37" s="8"/>
      <c r="AJ37" s="4"/>
      <c r="AK37" s="2"/>
      <c r="AL37" s="7"/>
      <c r="AM37" s="15">
        <f>IF(AM36="","",INDEX(結果!$C$6:$BL$85,$BM35+2,AK$87+2))</f>
        <v>1</v>
      </c>
      <c r="AN37" s="3" t="s">
        <v>199</v>
      </c>
      <c r="AO37" s="16">
        <f>IF(AM37="","",INDEX(結果!$C$6:$BL$85,$BM35+2,AK$87+4))</f>
        <v>1</v>
      </c>
      <c r="AP37" s="8"/>
      <c r="AQ37" s="4"/>
      <c r="AR37" s="2"/>
      <c r="AS37" s="7"/>
      <c r="AT37" s="15">
        <f>IF(AT36="","",INDEX(結果!$C$6:$BL$85,$BM35+2,AR$87+2))</f>
        <v>2</v>
      </c>
      <c r="AU37" s="3" t="s">
        <v>199</v>
      </c>
      <c r="AV37" s="16">
        <f>IF(AT37="","",INDEX(結果!$C$6:$BL$85,$BM35+2,AR$87+4))</f>
        <v>1</v>
      </c>
      <c r="AW37" s="8"/>
      <c r="AX37" s="4"/>
      <c r="AY37" s="2"/>
      <c r="AZ37" s="7"/>
      <c r="BA37" s="15">
        <f>IF(BA36="","",INDEX(結果!$C$6:$BL$85,$BM35+2,AY$87+2))</f>
        <v>2</v>
      </c>
      <c r="BB37" s="3" t="s">
        <v>199</v>
      </c>
      <c r="BC37" s="16">
        <f>IF(BA37="","",INDEX(結果!$C$6:$BL$85,$BM35+2,AY$87+4))</f>
        <v>0</v>
      </c>
      <c r="BD37" s="8"/>
      <c r="BE37" s="4"/>
      <c r="BF37" s="573"/>
      <c r="BG37" s="561"/>
      <c r="BH37" s="561"/>
      <c r="BI37" s="575"/>
      <c r="BJ37" s="570"/>
      <c r="BK37" s="47"/>
      <c r="BL37" s="599"/>
    </row>
    <row r="38" spans="1:65" ht="11.25" customHeight="1" x14ac:dyDescent="0.25">
      <c r="A38" s="530"/>
      <c r="B38" s="51"/>
      <c r="C38" s="532" t="str">
        <f>IF(B39="","",X8)</f>
        <v>③</v>
      </c>
      <c r="D38" s="532"/>
      <c r="E38" s="540">
        <f>IF(B39="","",Z8)</f>
        <v>42498</v>
      </c>
      <c r="F38" s="540"/>
      <c r="G38" s="540"/>
      <c r="H38" s="541"/>
      <c r="I38" s="51"/>
      <c r="J38" s="532" t="str">
        <f>IF(I39="","",X18)</f>
        <v>⑦</v>
      </c>
      <c r="K38" s="532"/>
      <c r="L38" s="540">
        <f>IF(I39="","",Z18)</f>
        <v>42553</v>
      </c>
      <c r="M38" s="540"/>
      <c r="N38" s="540"/>
      <c r="O38" s="541"/>
      <c r="P38" s="51"/>
      <c r="Q38" s="532" t="str">
        <f>IF(P39="","",X28)</f>
        <v>⑦</v>
      </c>
      <c r="R38" s="532"/>
      <c r="S38" s="540">
        <f>IF(P39="","",Z28)</f>
        <v>42546</v>
      </c>
      <c r="T38" s="540"/>
      <c r="U38" s="540"/>
      <c r="V38" s="541"/>
      <c r="W38" s="2"/>
      <c r="X38" s="3"/>
      <c r="Y38" s="3"/>
      <c r="Z38" s="3"/>
      <c r="AA38" s="3"/>
      <c r="AB38" s="3"/>
      <c r="AC38" s="4"/>
      <c r="AD38" s="80"/>
      <c r="AE38" s="532" t="str">
        <f>IF(AD39="","",INDEX(結果!$C$6:$BL$85,$BM35+3,AD$87+1))</f>
        <v>①</v>
      </c>
      <c r="AF38" s="532"/>
      <c r="AG38" s="546">
        <f>IF(AD39="","",INDEX(結果!$C$6:$BL$85,$BM35+3,AD$87+3))</f>
        <v>42489</v>
      </c>
      <c r="AH38" s="546"/>
      <c r="AI38" s="546"/>
      <c r="AJ38" s="547"/>
      <c r="AK38" s="80"/>
      <c r="AL38" s="532" t="str">
        <f>IF(AK39="","",INDEX(結果!$C$6:$BL$85,$BM35+3,AK$87+1))</f>
        <v>②</v>
      </c>
      <c r="AM38" s="532"/>
      <c r="AN38" s="546">
        <f>IF(AK39="","",INDEX(結果!$C$6:$BL$85,$BM35+3,AK$87+3))</f>
        <v>42491</v>
      </c>
      <c r="AO38" s="546"/>
      <c r="AP38" s="546"/>
      <c r="AQ38" s="547"/>
      <c r="AR38" s="80"/>
      <c r="AS38" s="532" t="str">
        <f>IF(AR39="","",INDEX(結果!$C$6:$BL$85,$BM35+3,AR$87+1))</f>
        <v>⑥</v>
      </c>
      <c r="AT38" s="532"/>
      <c r="AU38" s="546">
        <f>IF(AR39="","",INDEX(結果!$C$6:$BL$85,$BM35+3,AR$87+3))</f>
        <v>42518</v>
      </c>
      <c r="AV38" s="546"/>
      <c r="AW38" s="546"/>
      <c r="AX38" s="547"/>
      <c r="AY38" s="80"/>
      <c r="AZ38" s="532" t="str">
        <f>IF(AY39="","",INDEX(結果!$C$6:$BL$85,$BM35+3,AY$87+1))</f>
        <v>④</v>
      </c>
      <c r="BA38" s="532"/>
      <c r="BB38" s="546">
        <f>IF(AY39="","",INDEX(結果!$C$6:$BL$85,$BM35+3,AY$87+3))</f>
        <v>42504</v>
      </c>
      <c r="BC38" s="546"/>
      <c r="BD38" s="546"/>
      <c r="BE38" s="547"/>
      <c r="BF38" s="573"/>
      <c r="BG38" s="561"/>
      <c r="BH38" s="561"/>
      <c r="BI38" s="575"/>
      <c r="BJ38" s="570"/>
      <c r="BK38" s="47"/>
      <c r="BL38" s="599"/>
    </row>
    <row r="39" spans="1:65" ht="11.25" customHeight="1" x14ac:dyDescent="0.25">
      <c r="A39" s="530"/>
      <c r="B39" s="543" t="str">
        <f>IF(W9="","",W9)</f>
        <v>和倉Ａ</v>
      </c>
      <c r="C39" s="534"/>
      <c r="D39" s="534"/>
      <c r="E39" s="534"/>
      <c r="F39" s="534"/>
      <c r="G39" s="534"/>
      <c r="H39" s="535"/>
      <c r="I39" s="543" t="str">
        <f>IF(W19="","",W19)</f>
        <v>金沢市民</v>
      </c>
      <c r="J39" s="534"/>
      <c r="K39" s="534"/>
      <c r="L39" s="534"/>
      <c r="M39" s="534"/>
      <c r="N39" s="534"/>
      <c r="O39" s="535"/>
      <c r="P39" s="543" t="str">
        <f>IF(W29="","",W29)</f>
        <v>能登島Ｂ</v>
      </c>
      <c r="Q39" s="534"/>
      <c r="R39" s="534"/>
      <c r="S39" s="534"/>
      <c r="T39" s="534"/>
      <c r="U39" s="534"/>
      <c r="V39" s="535"/>
      <c r="W39" s="2"/>
      <c r="X39" s="3"/>
      <c r="Y39" s="3"/>
      <c r="Z39" s="3"/>
      <c r="AA39" s="3"/>
      <c r="AB39" s="3"/>
      <c r="AC39" s="4"/>
      <c r="AD39" s="548" t="str">
        <f>IF(INDEX(結果!$C$6:$BL$85,$BM35+4,AD$87)="","",INDEX(結果!$C$6:$BL$85,$BM35+4,AD$87))</f>
        <v>能登島Ｂ</v>
      </c>
      <c r="AE39" s="532"/>
      <c r="AF39" s="532"/>
      <c r="AG39" s="532"/>
      <c r="AH39" s="532"/>
      <c r="AI39" s="532"/>
      <c r="AJ39" s="539"/>
      <c r="AK39" s="548" t="str">
        <f>IF(INDEX(結果!$C$6:$BL$85,$BM35+4,AK$87)="","",INDEX(結果!$C$6:$BL$85,$BM35+4,AK$87))</f>
        <v>能登島Ｂ</v>
      </c>
      <c r="AL39" s="532"/>
      <c r="AM39" s="532"/>
      <c r="AN39" s="532"/>
      <c r="AO39" s="532"/>
      <c r="AP39" s="532"/>
      <c r="AQ39" s="539"/>
      <c r="AR39" s="548" t="str">
        <f>IF(INDEX(結果!$C$6:$BL$85,$BM35+4,AR$87)="","",INDEX(結果!$C$6:$BL$85,$BM35+4,AR$87))</f>
        <v>金沢市民</v>
      </c>
      <c r="AS39" s="532"/>
      <c r="AT39" s="532"/>
      <c r="AU39" s="532"/>
      <c r="AV39" s="532"/>
      <c r="AW39" s="532"/>
      <c r="AX39" s="539"/>
      <c r="AY39" s="548" t="str">
        <f>IF(INDEX(結果!$C$6:$BL$85,$BM35+4,AY$87)="","",INDEX(結果!$C$6:$BL$85,$BM35+4,AY$87))</f>
        <v>金沢交流</v>
      </c>
      <c r="AZ39" s="532"/>
      <c r="BA39" s="532"/>
      <c r="BB39" s="532"/>
      <c r="BC39" s="532"/>
      <c r="BD39" s="532"/>
      <c r="BE39" s="539"/>
      <c r="BF39" s="573"/>
      <c r="BG39" s="561"/>
      <c r="BH39" s="561"/>
      <c r="BI39" s="575"/>
      <c r="BJ39" s="570"/>
      <c r="BK39" s="47"/>
      <c r="BL39" s="599"/>
    </row>
    <row r="40" spans="1:65" ht="11.25" customHeight="1" x14ac:dyDescent="0.25">
      <c r="A40" s="530"/>
      <c r="B40" s="544" t="str">
        <f>IF(D42="","",D41+D42)</f>
        <v/>
      </c>
      <c r="C40" s="537"/>
      <c r="D40" s="537"/>
      <c r="E40" s="9" t="str">
        <f>IF(D42="","",IF(B40=F40,"△",IF(B40&gt;F40,"○","●")))</f>
        <v/>
      </c>
      <c r="F40" s="537" t="str">
        <f>IF(F42="","",F41+F42)</f>
        <v/>
      </c>
      <c r="G40" s="537"/>
      <c r="H40" s="542"/>
      <c r="I40" s="544">
        <f>IF(K42="","",K41+K42)</f>
        <v>0</v>
      </c>
      <c r="J40" s="537"/>
      <c r="K40" s="537"/>
      <c r="L40" s="9" t="str">
        <f>IF(K42="","",IF(I40=M40,"△",IF(I40&gt;M40,"○","●")))</f>
        <v>●</v>
      </c>
      <c r="M40" s="537">
        <f>IF(M42="","",M41+M42)</f>
        <v>3</v>
      </c>
      <c r="N40" s="537"/>
      <c r="O40" s="542"/>
      <c r="P40" s="544" t="str">
        <f>IF(R42="","",R41+R42)</f>
        <v/>
      </c>
      <c r="Q40" s="537"/>
      <c r="R40" s="537"/>
      <c r="S40" s="9" t="str">
        <f>IF(R42="","",IF(P40=T40,"△",IF(P40&gt;T40,"○","●")))</f>
        <v/>
      </c>
      <c r="T40" s="537" t="str">
        <f>IF(T42="","",T41+T42)</f>
        <v/>
      </c>
      <c r="U40" s="537"/>
      <c r="V40" s="542"/>
      <c r="W40" s="2"/>
      <c r="X40" s="3"/>
      <c r="Y40" s="3"/>
      <c r="Z40" s="3"/>
      <c r="AA40" s="3"/>
      <c r="AB40" s="3"/>
      <c r="AC40" s="4"/>
      <c r="AD40" s="544">
        <f>IF(AF42="","",AF41+AF42)</f>
        <v>4</v>
      </c>
      <c r="AE40" s="537"/>
      <c r="AF40" s="537"/>
      <c r="AG40" s="9" t="str">
        <f>IF(AF42="","",IF(AD40=AH40,"△",IF(AD40&gt;AH40,"○","●")))</f>
        <v>○</v>
      </c>
      <c r="AH40" s="537">
        <f>IF(AH42="","",AH41+AH42)</f>
        <v>1</v>
      </c>
      <c r="AI40" s="537"/>
      <c r="AJ40" s="542"/>
      <c r="AK40" s="544">
        <f>IF(AM42="","",AM41+AM42)</f>
        <v>2</v>
      </c>
      <c r="AL40" s="537"/>
      <c r="AM40" s="537"/>
      <c r="AN40" s="9" t="str">
        <f>IF(AM42="","",IF(AK40=AO40,"△",IF(AK40&gt;AO40,"○","●")))</f>
        <v>○</v>
      </c>
      <c r="AO40" s="537">
        <f>IF(AO42="","",AO41+AO42)</f>
        <v>0</v>
      </c>
      <c r="AP40" s="537"/>
      <c r="AQ40" s="542"/>
      <c r="AR40" s="544" t="str">
        <f>IF(AT42="","",AT41+AT42)</f>
        <v/>
      </c>
      <c r="AS40" s="537"/>
      <c r="AT40" s="537"/>
      <c r="AU40" s="9" t="str">
        <f>IF(AT42="","",IF(AR40=AV40,"△",IF(AR40&gt;AV40,"○","●")))</f>
        <v/>
      </c>
      <c r="AV40" s="537" t="str">
        <f>IF(AV42="","",AV41+AV42)</f>
        <v/>
      </c>
      <c r="AW40" s="537"/>
      <c r="AX40" s="542"/>
      <c r="AY40" s="544">
        <f>IF(BA42="","",BA41+BA42)</f>
        <v>5</v>
      </c>
      <c r="AZ40" s="537"/>
      <c r="BA40" s="537"/>
      <c r="BB40" s="9" t="str">
        <f>IF(BA42="","",IF(AY40=BC40,"△",IF(AY40&gt;BC40,"○","●")))</f>
        <v>○</v>
      </c>
      <c r="BC40" s="537">
        <f>IF(BC42="","",BC41+BC42)</f>
        <v>0</v>
      </c>
      <c r="BD40" s="537"/>
      <c r="BE40" s="542"/>
      <c r="BF40" s="573"/>
      <c r="BG40" s="561"/>
      <c r="BH40" s="561"/>
      <c r="BI40" s="575"/>
      <c r="BJ40" s="570"/>
      <c r="BK40" s="47"/>
      <c r="BL40" s="599"/>
    </row>
    <row r="41" spans="1:65" ht="11.25" customHeight="1" x14ac:dyDescent="0.25">
      <c r="A41" s="530"/>
      <c r="B41" s="2"/>
      <c r="C41" s="5"/>
      <c r="D41" s="15" t="str">
        <f>IF(AA11="","",AA11)</f>
        <v/>
      </c>
      <c r="E41" s="3" t="s">
        <v>199</v>
      </c>
      <c r="F41" s="16" t="str">
        <f>IF(Y11="","",Y11)</f>
        <v/>
      </c>
      <c r="G41" s="6"/>
      <c r="H41" s="4"/>
      <c r="I41" s="2"/>
      <c r="J41" s="5"/>
      <c r="K41" s="15">
        <f>IF(AA21="","",AA21)</f>
        <v>0</v>
      </c>
      <c r="L41" s="3" t="s">
        <v>199</v>
      </c>
      <c r="M41" s="16">
        <f>IF(Y21="","",Y21)</f>
        <v>1</v>
      </c>
      <c r="N41" s="6"/>
      <c r="O41" s="4"/>
      <c r="P41" s="2"/>
      <c r="Q41" s="5"/>
      <c r="R41" s="15" t="str">
        <f>IF(AA31="","",AA31)</f>
        <v/>
      </c>
      <c r="S41" s="3" t="s">
        <v>199</v>
      </c>
      <c r="T41" s="16" t="str">
        <f>IF(Y31="","",Y31)</f>
        <v/>
      </c>
      <c r="U41" s="6"/>
      <c r="V41" s="4"/>
      <c r="W41" s="2"/>
      <c r="X41" s="3"/>
      <c r="Y41" s="3"/>
      <c r="Z41" s="3"/>
      <c r="AA41" s="3"/>
      <c r="AB41" s="3"/>
      <c r="AC41" s="4"/>
      <c r="AD41" s="2"/>
      <c r="AE41" s="5"/>
      <c r="AF41" s="15">
        <f>IF(INDEX(結果!$C$6:$BL$85,$BM35+6,AD$87+2)="","",INDEX(結果!$C$6:$BL$85,$BM35+6,AD$87+2))</f>
        <v>2</v>
      </c>
      <c r="AG41" s="3" t="s">
        <v>199</v>
      </c>
      <c r="AH41" s="16">
        <f>IF(AF41="","",INDEX(結果!$C$6:$BL$85,$BM35+6,AD$87+4))</f>
        <v>0</v>
      </c>
      <c r="AI41" s="6"/>
      <c r="AJ41" s="4"/>
      <c r="AK41" s="2"/>
      <c r="AL41" s="5"/>
      <c r="AM41" s="15">
        <f>IF(INDEX(結果!$C$6:$BL$85,$BM35+6,AK$87+2)="","",INDEX(結果!$C$6:$BL$85,$BM35+6,AK$87+2))</f>
        <v>0</v>
      </c>
      <c r="AN41" s="3" t="s">
        <v>199</v>
      </c>
      <c r="AO41" s="16">
        <f>IF(AM41="","",INDEX(結果!$C$6:$BL$85,$BM35+6,AK$87+4))</f>
        <v>0</v>
      </c>
      <c r="AP41" s="6"/>
      <c r="AQ41" s="4"/>
      <c r="AR41" s="2"/>
      <c r="AS41" s="5"/>
      <c r="AT41" s="15" t="str">
        <f>IF(INDEX(結果!$C$6:$BL$85,$BM35+6,AR$87+2)="","",INDEX(結果!$C$6:$BL$85,$BM35+6,AR$87+2))</f>
        <v/>
      </c>
      <c r="AU41" s="3" t="s">
        <v>199</v>
      </c>
      <c r="AV41" s="16" t="str">
        <f>IF(AT41="","",INDEX(結果!$C$6:$BL$85,$BM35+6,AR$87+4))</f>
        <v/>
      </c>
      <c r="AW41" s="6"/>
      <c r="AX41" s="4"/>
      <c r="AY41" s="2"/>
      <c r="AZ41" s="5"/>
      <c r="BA41" s="15">
        <f>IF(INDEX(結果!$C$6:$BL$85,$BM35+6,AY$87+2)="","",INDEX(結果!$C$6:$BL$85,$BM35+6,AY$87+2))</f>
        <v>2</v>
      </c>
      <c r="BB41" s="3" t="s">
        <v>199</v>
      </c>
      <c r="BC41" s="16">
        <f>IF(BA41="","",INDEX(結果!$C$6:$BL$85,$BM35+6,AY$87+4))</f>
        <v>0</v>
      </c>
      <c r="BD41" s="6"/>
      <c r="BE41" s="4"/>
      <c r="BF41" s="573"/>
      <c r="BG41" s="561"/>
      <c r="BH41" s="561"/>
      <c r="BI41" s="575"/>
      <c r="BJ41" s="570"/>
      <c r="BK41" s="47"/>
      <c r="BL41" s="599"/>
    </row>
    <row r="42" spans="1:65" ht="11.25" customHeight="1" x14ac:dyDescent="0.25">
      <c r="A42" s="530"/>
      <c r="B42" s="2"/>
      <c r="C42" s="7"/>
      <c r="D42" s="15" t="str">
        <f>IF(AA12="","",AA12)</f>
        <v/>
      </c>
      <c r="E42" s="3" t="s">
        <v>199</v>
      </c>
      <c r="F42" s="16" t="str">
        <f>IF(Y12="","",Y12)</f>
        <v/>
      </c>
      <c r="G42" s="8"/>
      <c r="H42" s="4"/>
      <c r="I42" s="2"/>
      <c r="J42" s="7"/>
      <c r="K42" s="15">
        <f>IF(AA22="","",AA22)</f>
        <v>0</v>
      </c>
      <c r="L42" s="3" t="s">
        <v>199</v>
      </c>
      <c r="M42" s="16">
        <f>IF(Y22="","",Y22)</f>
        <v>2</v>
      </c>
      <c r="N42" s="8"/>
      <c r="O42" s="4"/>
      <c r="P42" s="2"/>
      <c r="Q42" s="7"/>
      <c r="R42" s="15" t="str">
        <f>IF(AA32="","",AA32)</f>
        <v/>
      </c>
      <c r="S42" s="3" t="s">
        <v>199</v>
      </c>
      <c r="T42" s="16" t="str">
        <f>IF(Y32="","",Y32)</f>
        <v/>
      </c>
      <c r="U42" s="8"/>
      <c r="V42" s="4"/>
      <c r="W42" s="2"/>
      <c r="X42" s="3"/>
      <c r="Y42" s="3"/>
      <c r="Z42" s="3"/>
      <c r="AA42" s="3"/>
      <c r="AB42" s="3"/>
      <c r="AC42" s="4"/>
      <c r="AD42" s="2"/>
      <c r="AE42" s="7"/>
      <c r="AF42" s="15">
        <f>IF(AF41="","",INDEX(結果!$C$6:$BL$85,$BM35+7,AD$87+2))</f>
        <v>2</v>
      </c>
      <c r="AG42" s="3" t="s">
        <v>199</v>
      </c>
      <c r="AH42" s="16">
        <f>IF(AF42="","",INDEX(結果!$C$6:$BL$85,$BM35+7,AD$87+4))</f>
        <v>1</v>
      </c>
      <c r="AI42" s="8"/>
      <c r="AJ42" s="4"/>
      <c r="AK42" s="2"/>
      <c r="AL42" s="7"/>
      <c r="AM42" s="15">
        <f>IF(AM41="","",INDEX(結果!$C$6:$BL$85,$BM35+7,AK$87+2))</f>
        <v>2</v>
      </c>
      <c r="AN42" s="3" t="s">
        <v>199</v>
      </c>
      <c r="AO42" s="16">
        <f>IF(AM42="","",INDEX(結果!$C$6:$BL$85,$BM35+7,AK$87+4))</f>
        <v>0</v>
      </c>
      <c r="AP42" s="8"/>
      <c r="AQ42" s="4"/>
      <c r="AR42" s="2"/>
      <c r="AS42" s="7"/>
      <c r="AT42" s="15" t="str">
        <f>IF(AT41="","",INDEX(結果!$C$6:$BL$85,$BM35+7,AR$87+2))</f>
        <v/>
      </c>
      <c r="AU42" s="3" t="s">
        <v>199</v>
      </c>
      <c r="AV42" s="16" t="str">
        <f>IF(AT42="","",INDEX(結果!$C$6:$BL$85,$BM35+7,AR$87+4))</f>
        <v/>
      </c>
      <c r="AW42" s="8"/>
      <c r="AX42" s="4"/>
      <c r="AY42" s="2"/>
      <c r="AZ42" s="7"/>
      <c r="BA42" s="15">
        <f>IF(BA41="","",INDEX(結果!$C$6:$BL$85,$BM35+7,AY$87+2))</f>
        <v>3</v>
      </c>
      <c r="BB42" s="3" t="s">
        <v>199</v>
      </c>
      <c r="BC42" s="16">
        <f>IF(BA42="","",INDEX(結果!$C$6:$BL$85,$BM35+7,AY$87+4))</f>
        <v>0</v>
      </c>
      <c r="BD42" s="8"/>
      <c r="BE42" s="4"/>
      <c r="BF42" s="573"/>
      <c r="BG42" s="561"/>
      <c r="BH42" s="561"/>
      <c r="BI42" s="575"/>
      <c r="BJ42" s="570"/>
      <c r="BK42" s="47"/>
      <c r="BL42" s="599"/>
    </row>
    <row r="43" spans="1:65" ht="11.25" customHeight="1" x14ac:dyDescent="0.25">
      <c r="A43" s="530"/>
      <c r="B43" s="51"/>
      <c r="C43" s="532" t="str">
        <f>IF(B44="","",X13)</f>
        <v>②</v>
      </c>
      <c r="D43" s="532"/>
      <c r="E43" s="540">
        <f>IF(B44="","",Z13)</f>
        <v>42673</v>
      </c>
      <c r="F43" s="540"/>
      <c r="G43" s="540"/>
      <c r="H43" s="541"/>
      <c r="I43" s="51"/>
      <c r="J43" s="532" t="str">
        <f>IF(I44="","",X23)</f>
        <v>②</v>
      </c>
      <c r="K43" s="532"/>
      <c r="L43" s="540">
        <f>IF(I44="","",Z23)</f>
        <v>42624</v>
      </c>
      <c r="M43" s="540"/>
      <c r="N43" s="540"/>
      <c r="O43" s="541"/>
      <c r="P43" s="51"/>
      <c r="Q43" s="532" t="str">
        <f>IF(P44="","",X33)</f>
        <v>②</v>
      </c>
      <c r="R43" s="532"/>
      <c r="S43" s="540">
        <f>IF(P44="","",Z33)</f>
        <v>42677</v>
      </c>
      <c r="T43" s="540"/>
      <c r="U43" s="540"/>
      <c r="V43" s="541"/>
      <c r="W43" s="2"/>
      <c r="X43" s="3"/>
      <c r="Y43" s="3"/>
      <c r="Z43" s="3"/>
      <c r="AA43" s="3"/>
      <c r="AB43" s="3"/>
      <c r="AC43" s="4"/>
      <c r="AD43" s="80"/>
      <c r="AE43" s="532" t="str">
        <f>IF(AD44="","",INDEX(結果!$C$6:$BL$85,$BM35+8,AD$87+1))</f>
        <v>②</v>
      </c>
      <c r="AF43" s="532"/>
      <c r="AG43" s="546">
        <f>IF(AD44="","",INDEX(結果!$C$6:$BL$85,$BM35+8,AD$87+3))</f>
        <v>42644</v>
      </c>
      <c r="AH43" s="546"/>
      <c r="AI43" s="546"/>
      <c r="AJ43" s="547"/>
      <c r="AK43" s="80"/>
      <c r="AL43" s="532" t="str">
        <f>IF(AK44="","",INDEX(結果!$C$6:$BL$85,$BM35+8,AK$87+1))</f>
        <v>⑨</v>
      </c>
      <c r="AM43" s="532"/>
      <c r="AN43" s="546">
        <f>IF(AK44="","",INDEX(結果!$C$6:$BL$85,$BM35+8,AK$87+3))</f>
        <v>42581</v>
      </c>
      <c r="AO43" s="546"/>
      <c r="AP43" s="546"/>
      <c r="AQ43" s="547"/>
      <c r="AR43" s="80"/>
      <c r="AS43" s="532" t="str">
        <f>IF(AR44="","",INDEX(結果!$C$6:$BL$85,$BM35+8,AR$87+1))</f>
        <v>②</v>
      </c>
      <c r="AT43" s="532"/>
      <c r="AU43" s="546">
        <f>IF(AR44="","",INDEX(結果!$C$6:$BL$85,$BM35+8,AR$87+3))</f>
        <v>42658</v>
      </c>
      <c r="AV43" s="546"/>
      <c r="AW43" s="546"/>
      <c r="AX43" s="547"/>
      <c r="AY43" s="80"/>
      <c r="AZ43" s="532" t="str">
        <f>IF(AY44="","",INDEX(結果!$C$6:$BL$85,$BM35+8,AY$87+1))</f>
        <v>⑧</v>
      </c>
      <c r="BA43" s="532"/>
      <c r="BB43" s="546">
        <f>IF(AY44="","",INDEX(結果!$C$6:$BL$85,$BM35+8,AY$87+3))</f>
        <v>42574</v>
      </c>
      <c r="BC43" s="546"/>
      <c r="BD43" s="546"/>
      <c r="BE43" s="547"/>
      <c r="BF43" s="573"/>
      <c r="BG43" s="561"/>
      <c r="BH43" s="561"/>
      <c r="BI43" s="575"/>
      <c r="BJ43" s="570"/>
      <c r="BK43" s="47"/>
      <c r="BL43" s="599"/>
    </row>
    <row r="44" spans="1:65" ht="11.25" customHeight="1" x14ac:dyDescent="0.25">
      <c r="A44" s="531"/>
      <c r="B44" s="543" t="str">
        <f>IF(W14="","",W14)</f>
        <v>星稜ｻｯｶｰ場</v>
      </c>
      <c r="C44" s="534"/>
      <c r="D44" s="534"/>
      <c r="E44" s="534"/>
      <c r="F44" s="534"/>
      <c r="G44" s="534"/>
      <c r="H44" s="535"/>
      <c r="I44" s="543" t="str">
        <f>IF(W24="","",W24)</f>
        <v>能登島Ｂ</v>
      </c>
      <c r="J44" s="534"/>
      <c r="K44" s="534"/>
      <c r="L44" s="534"/>
      <c r="M44" s="534"/>
      <c r="N44" s="534"/>
      <c r="O44" s="535"/>
      <c r="P44" s="543" t="str">
        <f>IF(W34="","",W34)</f>
        <v>星稜ｻｯｶｰ場</v>
      </c>
      <c r="Q44" s="534"/>
      <c r="R44" s="534"/>
      <c r="S44" s="534"/>
      <c r="T44" s="534"/>
      <c r="U44" s="534"/>
      <c r="V44" s="535"/>
      <c r="W44" s="2"/>
      <c r="X44" s="3"/>
      <c r="Y44" s="3"/>
      <c r="Z44" s="3"/>
      <c r="AA44" s="3"/>
      <c r="AB44" s="3"/>
      <c r="AC44" s="4"/>
      <c r="AD44" s="543" t="str">
        <f>IF(INDEX(結果!$C$6:$BL$85,$BM35+9,AD$87)="","",INDEX(結果!$C$6:$BL$85,$BM35+9,AD$87))</f>
        <v>金沢市民</v>
      </c>
      <c r="AE44" s="534"/>
      <c r="AF44" s="534"/>
      <c r="AG44" s="534"/>
      <c r="AH44" s="534"/>
      <c r="AI44" s="534"/>
      <c r="AJ44" s="535"/>
      <c r="AK44" s="543" t="str">
        <f>IF(INDEX(結果!$C$6:$BL$85,$BM35+9,AK$87)="","",INDEX(結果!$C$6:$BL$85,$BM35+9,AK$87))</f>
        <v>小松市民</v>
      </c>
      <c r="AL44" s="534"/>
      <c r="AM44" s="534"/>
      <c r="AN44" s="534"/>
      <c r="AO44" s="534"/>
      <c r="AP44" s="534"/>
      <c r="AQ44" s="535"/>
      <c r="AR44" s="543" t="str">
        <f>IF(INDEX(結果!$C$6:$BL$85,$BM35+9,AR$87)="","",INDEX(結果!$C$6:$BL$85,$BM35+9,AR$87))</f>
        <v>金沢市民</v>
      </c>
      <c r="AS44" s="534"/>
      <c r="AT44" s="534"/>
      <c r="AU44" s="534"/>
      <c r="AV44" s="534"/>
      <c r="AW44" s="534"/>
      <c r="AX44" s="535"/>
      <c r="AY44" s="543" t="str">
        <f>IF(INDEX(結果!$C$6:$BL$85,$BM35+9,AY$87)="","",INDEX(結果!$C$6:$BL$85,$BM35+9,AY$87))</f>
        <v>北陸大FPB</v>
      </c>
      <c r="AZ44" s="534"/>
      <c r="BA44" s="534"/>
      <c r="BB44" s="534"/>
      <c r="BC44" s="534"/>
      <c r="BD44" s="534"/>
      <c r="BE44" s="535"/>
      <c r="BF44" s="589"/>
      <c r="BG44" s="562"/>
      <c r="BH44" s="562"/>
      <c r="BI44" s="584"/>
      <c r="BJ44" s="571"/>
      <c r="BK44" s="47"/>
      <c r="BL44" s="599"/>
    </row>
    <row r="45" spans="1:65" ht="11.25" customHeight="1" x14ac:dyDescent="0.25">
      <c r="A45" s="529" t="str">
        <f>INDEX(結果!$B$6:$BL$85,MATCH($BL45,結果!BP$6:BP$85,0),1)</f>
        <v>ヘミニス
金沢FC
1st</v>
      </c>
      <c r="B45" s="544">
        <f>IF(D47="","",D46+D47)</f>
        <v>3</v>
      </c>
      <c r="C45" s="537"/>
      <c r="D45" s="537"/>
      <c r="E45" s="9" t="str">
        <f>IF(D47="","",IF(B45=F45,"△",IF(B45&gt;F45,"○","●")))</f>
        <v>△</v>
      </c>
      <c r="F45" s="537">
        <f>IF(F47="","",F46+F47)</f>
        <v>3</v>
      </c>
      <c r="G45" s="537"/>
      <c r="H45" s="542"/>
      <c r="I45" s="544">
        <f>IF(K47="","",K46+K47)</f>
        <v>0</v>
      </c>
      <c r="J45" s="537"/>
      <c r="K45" s="537"/>
      <c r="L45" s="9" t="str">
        <f>IF(K47="","",IF(I45=M45,"△",IF(I45&gt;M45,"○","●")))</f>
        <v>●</v>
      </c>
      <c r="M45" s="537">
        <f>IF(M47="","",M46+M47)</f>
        <v>1</v>
      </c>
      <c r="N45" s="537"/>
      <c r="O45" s="542"/>
      <c r="P45" s="544">
        <f>IF(R47="","",R46+R47)</f>
        <v>3</v>
      </c>
      <c r="Q45" s="537"/>
      <c r="R45" s="537"/>
      <c r="S45" s="9" t="str">
        <f>IF(R47="","",IF(P45=T45,"△",IF(P45&gt;T45,"○","●")))</f>
        <v>○</v>
      </c>
      <c r="T45" s="537">
        <f>IF(T47="","",T46+T47)</f>
        <v>1</v>
      </c>
      <c r="U45" s="537"/>
      <c r="V45" s="542"/>
      <c r="W45" s="544">
        <f>IF(Y47="","",Y46+Y47)</f>
        <v>3</v>
      </c>
      <c r="X45" s="537"/>
      <c r="Y45" s="537"/>
      <c r="Z45" s="9" t="str">
        <f>IF(Y47="","",IF(W45=AA45,"△",IF(W45&gt;AA45,"○","●")))</f>
        <v>○</v>
      </c>
      <c r="AA45" s="537">
        <f>IF(AA47="","",AA46+AA47)</f>
        <v>1</v>
      </c>
      <c r="AB45" s="537"/>
      <c r="AC45" s="542"/>
      <c r="AD45" s="5"/>
      <c r="AE45" s="85"/>
      <c r="AF45" s="85"/>
      <c r="AG45" s="85"/>
      <c r="AH45" s="85"/>
      <c r="AI45" s="85"/>
      <c r="AJ45" s="6"/>
      <c r="AK45" s="544">
        <f>IF(AM47="","",AM46+AM47)</f>
        <v>3</v>
      </c>
      <c r="AL45" s="537"/>
      <c r="AM45" s="537"/>
      <c r="AN45" s="9" t="str">
        <f>IF(AM47="","",IF(AK45=AO45,"△",IF(AK45&gt;AO45,"○","●")))</f>
        <v>○</v>
      </c>
      <c r="AO45" s="537">
        <f>IF(AO47="","",AO46+AO47)</f>
        <v>0</v>
      </c>
      <c r="AP45" s="537"/>
      <c r="AQ45" s="542"/>
      <c r="AR45" s="544">
        <f>IF(AT47="","",AT46+AT47)</f>
        <v>1</v>
      </c>
      <c r="AS45" s="537"/>
      <c r="AT45" s="537"/>
      <c r="AU45" s="9" t="str">
        <f>IF(AT47="","",IF(AR45=AV45,"△",IF(AR45&gt;AV45,"○","●")))</f>
        <v>○</v>
      </c>
      <c r="AV45" s="537">
        <f>IF(AV47="","",AV46+AV47)</f>
        <v>0</v>
      </c>
      <c r="AW45" s="537"/>
      <c r="AX45" s="542"/>
      <c r="AY45" s="544">
        <f>IF(BA47="","",BA46+BA47)</f>
        <v>3</v>
      </c>
      <c r="AZ45" s="537"/>
      <c r="BA45" s="537"/>
      <c r="BB45" s="9" t="str">
        <f>IF(BA47="","",IF(AY45=BC45,"△",IF(AY45&gt;BC45,"○","●")))</f>
        <v>○</v>
      </c>
      <c r="BC45" s="537">
        <f>IF(BC47="","",BC46+BC47)</f>
        <v>0</v>
      </c>
      <c r="BD45" s="537"/>
      <c r="BE45" s="566"/>
      <c r="BF45" s="588">
        <f>IF(COUNT(B46:BE46)=0,"",COUNTIF(AG$5:AG$84,"●")*3+COUNTIF(AG$5:AG$84,"△"))</f>
        <v>19</v>
      </c>
      <c r="BG45" s="560">
        <f>IF(BF45="","",SUM(AH$5:AH$84)/2)</f>
        <v>22</v>
      </c>
      <c r="BH45" s="560">
        <f>IF(BF45="","",SUM(AD$5:AD$84))</f>
        <v>23</v>
      </c>
      <c r="BI45" s="583">
        <f>IF(BF45="","",BG45-BH45)</f>
        <v>-1</v>
      </c>
      <c r="BJ45" s="569">
        <f>IF(BF45="","",RANK(BK45,BK$5:BK$84))</f>
        <v>5</v>
      </c>
      <c r="BK45" s="47">
        <f>IF(BF45="",-ROW()*10000,BF45*10000+BI45*100+BG45+COUNTIF(B45:BE45,"&gt;=0")/20)</f>
        <v>189922.7</v>
      </c>
      <c r="BL45" s="599">
        <v>5</v>
      </c>
      <c r="BM45" s="1">
        <f>INDEX(結果!BM$6:BN$85,MATCH(BL45,結果!BP$6:BP$85,0),2)</f>
        <v>61</v>
      </c>
    </row>
    <row r="46" spans="1:65" ht="10.5" customHeight="1" x14ac:dyDescent="0.25">
      <c r="A46" s="530"/>
      <c r="B46" s="2"/>
      <c r="C46" s="5"/>
      <c r="D46" s="15">
        <f>IF(AH6="","",AH6)</f>
        <v>0</v>
      </c>
      <c r="E46" s="3" t="s">
        <v>199</v>
      </c>
      <c r="F46" s="16">
        <f>IF(AF6="","",AF6)</f>
        <v>2</v>
      </c>
      <c r="G46" s="6"/>
      <c r="H46" s="4"/>
      <c r="I46" s="2"/>
      <c r="J46" s="5"/>
      <c r="K46" s="15">
        <f>IF(AH16="","",AH16)</f>
        <v>0</v>
      </c>
      <c r="L46" s="3" t="s">
        <v>199</v>
      </c>
      <c r="M46" s="16">
        <f>IF(AF16="","",AF16)</f>
        <v>0</v>
      </c>
      <c r="N46" s="6"/>
      <c r="O46" s="4"/>
      <c r="P46" s="2"/>
      <c r="Q46" s="5"/>
      <c r="R46" s="15">
        <f>IF(AH26="","",AH26)</f>
        <v>0</v>
      </c>
      <c r="S46" s="3" t="s">
        <v>199</v>
      </c>
      <c r="T46" s="16">
        <f>IF(AF26="","",AF26)</f>
        <v>0</v>
      </c>
      <c r="U46" s="6"/>
      <c r="V46" s="4"/>
      <c r="W46" s="2"/>
      <c r="X46" s="5"/>
      <c r="Y46" s="15">
        <f>IF(AH36="","",AH36)</f>
        <v>2</v>
      </c>
      <c r="Z46" s="3" t="s">
        <v>199</v>
      </c>
      <c r="AA46" s="16">
        <f>IF(AF36="","",AF36)</f>
        <v>0</v>
      </c>
      <c r="AB46" s="6"/>
      <c r="AC46" s="4"/>
      <c r="AD46" s="2"/>
      <c r="AE46" s="3"/>
      <c r="AF46" s="3"/>
      <c r="AG46" s="3"/>
      <c r="AH46" s="3"/>
      <c r="AI46" s="3"/>
      <c r="AJ46" s="4"/>
      <c r="AK46" s="2"/>
      <c r="AL46" s="5"/>
      <c r="AM46" s="15">
        <f>IF(INDEX(結果!$C$6:$BL$85,$BM45+1,AK$87+2)="","",INDEX(結果!$C$6:$BL$85,$BM45+1,AK$87+2))</f>
        <v>0</v>
      </c>
      <c r="AN46" s="3" t="s">
        <v>199</v>
      </c>
      <c r="AO46" s="16">
        <f>IF(AM46="","",INDEX(結果!$C$6:$BL$85,$BM45+1,AK$87+4))</f>
        <v>0</v>
      </c>
      <c r="AP46" s="6"/>
      <c r="AQ46" s="4"/>
      <c r="AR46" s="2"/>
      <c r="AS46" s="5"/>
      <c r="AT46" s="15">
        <f>IF(INDEX(結果!$C$6:$BL$85,$BM45+1,AR$87+2)="","",INDEX(結果!$C$6:$BL$85,$BM45+1,AR$87+2))</f>
        <v>0</v>
      </c>
      <c r="AU46" s="3" t="s">
        <v>199</v>
      </c>
      <c r="AV46" s="16">
        <f>IF(AT46="","",INDEX(結果!$C$6:$BL$85,$BM45+1,AR$87+4))</f>
        <v>0</v>
      </c>
      <c r="AW46" s="6"/>
      <c r="AX46" s="4"/>
      <c r="AY46" s="2"/>
      <c r="AZ46" s="5"/>
      <c r="BA46" s="15">
        <f>IF(INDEX(結果!$C$6:$BL$85,$BM45+1,AY$87+2)="","",INDEX(結果!$C$6:$BL$85,$BM45+1,AY$87+2))</f>
        <v>0</v>
      </c>
      <c r="BB46" s="3" t="s">
        <v>199</v>
      </c>
      <c r="BC46" s="16">
        <f>IF(BA46="","",INDEX(結果!$C$6:$BL$85,$BM45+1,AY$87+4))</f>
        <v>0</v>
      </c>
      <c r="BD46" s="6"/>
      <c r="BE46" s="4"/>
      <c r="BF46" s="573"/>
      <c r="BG46" s="561"/>
      <c r="BH46" s="561"/>
      <c r="BI46" s="575"/>
      <c r="BJ46" s="570"/>
      <c r="BK46" s="47"/>
      <c r="BL46" s="599"/>
    </row>
    <row r="47" spans="1:65" ht="10.5" customHeight="1" x14ac:dyDescent="0.25">
      <c r="A47" s="530"/>
      <c r="B47" s="2"/>
      <c r="C47" s="7"/>
      <c r="D47" s="15">
        <f>IF(AH7="","",AH7)</f>
        <v>3</v>
      </c>
      <c r="E47" s="3" t="s">
        <v>199</v>
      </c>
      <c r="F47" s="16">
        <f>IF(AF7="","",AF7)</f>
        <v>1</v>
      </c>
      <c r="G47" s="8"/>
      <c r="H47" s="4"/>
      <c r="I47" s="2"/>
      <c r="J47" s="7"/>
      <c r="K47" s="15">
        <f>IF(AH17="","",AH17)</f>
        <v>0</v>
      </c>
      <c r="L47" s="3" t="s">
        <v>199</v>
      </c>
      <c r="M47" s="16">
        <f>IF(AF17="","",AF17)</f>
        <v>1</v>
      </c>
      <c r="N47" s="8"/>
      <c r="O47" s="4"/>
      <c r="P47" s="2"/>
      <c r="Q47" s="7"/>
      <c r="R47" s="15">
        <f>IF(AH27="","",AH27)</f>
        <v>3</v>
      </c>
      <c r="S47" s="3" t="s">
        <v>199</v>
      </c>
      <c r="T47" s="16">
        <f>IF(AF27="","",AF27)</f>
        <v>1</v>
      </c>
      <c r="U47" s="8"/>
      <c r="V47" s="4"/>
      <c r="W47" s="2"/>
      <c r="X47" s="7"/>
      <c r="Y47" s="15">
        <f>IF(AH37="","",AH37)</f>
        <v>1</v>
      </c>
      <c r="Z47" s="3" t="s">
        <v>199</v>
      </c>
      <c r="AA47" s="16">
        <f>IF(AF37="","",AF37)</f>
        <v>1</v>
      </c>
      <c r="AB47" s="8"/>
      <c r="AC47" s="4"/>
      <c r="AD47" s="2"/>
      <c r="AE47" s="3"/>
      <c r="AF47" s="3"/>
      <c r="AG47" s="3"/>
      <c r="AH47" s="3"/>
      <c r="AI47" s="3"/>
      <c r="AJ47" s="4"/>
      <c r="AK47" s="2"/>
      <c r="AL47" s="7"/>
      <c r="AM47" s="15">
        <f>IF(AM46="","",INDEX(結果!$C$6:$BL$85,$BM45+2,AK$87+2))</f>
        <v>3</v>
      </c>
      <c r="AN47" s="3" t="s">
        <v>199</v>
      </c>
      <c r="AO47" s="16">
        <f>IF(AM47="","",INDEX(結果!$C$6:$BL$85,$BM45+2,AK$87+4))</f>
        <v>0</v>
      </c>
      <c r="AP47" s="8"/>
      <c r="AQ47" s="4"/>
      <c r="AR47" s="2"/>
      <c r="AS47" s="7"/>
      <c r="AT47" s="15">
        <f>IF(AT46="","",INDEX(結果!$C$6:$BL$85,$BM45+2,AR$87+2))</f>
        <v>1</v>
      </c>
      <c r="AU47" s="3" t="s">
        <v>199</v>
      </c>
      <c r="AV47" s="16">
        <f>IF(AT47="","",INDEX(結果!$C$6:$BL$85,$BM45+2,AR$87+4))</f>
        <v>0</v>
      </c>
      <c r="AW47" s="8"/>
      <c r="AX47" s="4"/>
      <c r="AY47" s="2"/>
      <c r="AZ47" s="7"/>
      <c r="BA47" s="15">
        <f>IF(BA46="","",INDEX(結果!$C$6:$BL$85,$BM45+2,AY$87+2))</f>
        <v>3</v>
      </c>
      <c r="BB47" s="3" t="s">
        <v>199</v>
      </c>
      <c r="BC47" s="16">
        <f>IF(BA47="","",INDEX(結果!$C$6:$BL$85,$BM45+2,AY$87+4))</f>
        <v>0</v>
      </c>
      <c r="BD47" s="8"/>
      <c r="BE47" s="4"/>
      <c r="BF47" s="573"/>
      <c r="BG47" s="561"/>
      <c r="BH47" s="561"/>
      <c r="BI47" s="575"/>
      <c r="BJ47" s="570"/>
      <c r="BK47" s="47"/>
      <c r="BL47" s="599"/>
    </row>
    <row r="48" spans="1:65" ht="11.25" customHeight="1" x14ac:dyDescent="0.25">
      <c r="A48" s="530"/>
      <c r="B48" s="51"/>
      <c r="C48" s="532" t="str">
        <f>IF(B49="","",AE8)</f>
        <v>⑦</v>
      </c>
      <c r="D48" s="532"/>
      <c r="E48" s="540">
        <f>IF(B49="","",AG8)</f>
        <v>42546</v>
      </c>
      <c r="F48" s="540"/>
      <c r="G48" s="540"/>
      <c r="H48" s="541"/>
      <c r="I48" s="51"/>
      <c r="J48" s="532" t="str">
        <f>IF(I49="","",AE18)</f>
        <v>⑥</v>
      </c>
      <c r="K48" s="532"/>
      <c r="L48" s="540">
        <f>IF(I49="","",AG18)</f>
        <v>42518</v>
      </c>
      <c r="M48" s="540"/>
      <c r="N48" s="540"/>
      <c r="O48" s="541"/>
      <c r="P48" s="51"/>
      <c r="Q48" s="532" t="str">
        <f>IF(P49="","",AE28)</f>
        <v>②</v>
      </c>
      <c r="R48" s="532"/>
      <c r="S48" s="540">
        <f>IF(P49="","",AG28)</f>
        <v>42493</v>
      </c>
      <c r="T48" s="540"/>
      <c r="U48" s="540"/>
      <c r="V48" s="541"/>
      <c r="W48" s="51"/>
      <c r="X48" s="532" t="str">
        <f>IF(W49="","",AE38)</f>
        <v>①</v>
      </c>
      <c r="Y48" s="532"/>
      <c r="Z48" s="540">
        <f>IF(W49="","",AG38)</f>
        <v>42489</v>
      </c>
      <c r="AA48" s="540"/>
      <c r="AB48" s="540"/>
      <c r="AC48" s="541"/>
      <c r="AD48" s="2"/>
      <c r="AE48" s="3"/>
      <c r="AF48" s="3"/>
      <c r="AG48" s="3"/>
      <c r="AH48" s="3"/>
      <c r="AI48" s="3"/>
      <c r="AJ48" s="4"/>
      <c r="AK48" s="80"/>
      <c r="AL48" s="532" t="str">
        <f>IF(AK49="","",INDEX(結果!$C$6:$BL$85,$BM45+3,AK$87+1))</f>
        <v>④</v>
      </c>
      <c r="AM48" s="532"/>
      <c r="AN48" s="546">
        <f>IF(AK49="","",INDEX(結果!$C$6:$BL$85,$BM45+3,AK$87+3))</f>
        <v>42505</v>
      </c>
      <c r="AO48" s="546"/>
      <c r="AP48" s="546"/>
      <c r="AQ48" s="547"/>
      <c r="AR48" s="80"/>
      <c r="AS48" s="532" t="str">
        <f>IF(AR49="","",INDEX(結果!$C$6:$BL$85,$BM45+3,AR$87+1))</f>
        <v>⑤</v>
      </c>
      <c r="AT48" s="532"/>
      <c r="AU48" s="546">
        <f>IF(AR49="","",INDEX(結果!$C$6:$BL$85,$BM45+3,AR$87+3))</f>
        <v>42512</v>
      </c>
      <c r="AV48" s="546"/>
      <c r="AW48" s="546"/>
      <c r="AX48" s="547"/>
      <c r="AY48" s="80"/>
      <c r="AZ48" s="532" t="str">
        <f>IF(AY49="","",INDEX(結果!$C$6:$BL$85,$BM45+3,AY$87+1))</f>
        <v>③</v>
      </c>
      <c r="BA48" s="532"/>
      <c r="BB48" s="546">
        <f>IF(AY49="","",INDEX(結果!$C$6:$BL$85,$BM45+3,AY$87+3))</f>
        <v>42498</v>
      </c>
      <c r="BC48" s="546"/>
      <c r="BD48" s="546"/>
      <c r="BE48" s="547"/>
      <c r="BF48" s="573"/>
      <c r="BG48" s="561"/>
      <c r="BH48" s="561"/>
      <c r="BI48" s="575"/>
      <c r="BJ48" s="570"/>
      <c r="BK48" s="47"/>
      <c r="BL48" s="599"/>
    </row>
    <row r="49" spans="1:65" ht="11.25" customHeight="1" x14ac:dyDescent="0.25">
      <c r="A49" s="530"/>
      <c r="B49" s="543" t="str">
        <f>IF(AD9="","",AD9)</f>
        <v>能登島Ｂ</v>
      </c>
      <c r="C49" s="534"/>
      <c r="D49" s="534"/>
      <c r="E49" s="534"/>
      <c r="F49" s="534"/>
      <c r="G49" s="534"/>
      <c r="H49" s="535"/>
      <c r="I49" s="543" t="str">
        <f>IF(AD19="","",AD19)</f>
        <v>金沢市民</v>
      </c>
      <c r="J49" s="534"/>
      <c r="K49" s="534"/>
      <c r="L49" s="534"/>
      <c r="M49" s="534"/>
      <c r="N49" s="534"/>
      <c r="O49" s="535"/>
      <c r="P49" s="543" t="str">
        <f>IF(AD29="","",AD29)</f>
        <v>金沢交流</v>
      </c>
      <c r="Q49" s="534"/>
      <c r="R49" s="534"/>
      <c r="S49" s="534"/>
      <c r="T49" s="534"/>
      <c r="U49" s="534"/>
      <c r="V49" s="535"/>
      <c r="W49" s="543" t="str">
        <f>IF(AD39="","",AD39)</f>
        <v>能登島Ｂ</v>
      </c>
      <c r="X49" s="534"/>
      <c r="Y49" s="534"/>
      <c r="Z49" s="534"/>
      <c r="AA49" s="534"/>
      <c r="AB49" s="534"/>
      <c r="AC49" s="535"/>
      <c r="AD49" s="2"/>
      <c r="AE49" s="3"/>
      <c r="AF49" s="3"/>
      <c r="AG49" s="3"/>
      <c r="AH49" s="3"/>
      <c r="AI49" s="3"/>
      <c r="AJ49" s="4"/>
      <c r="AK49" s="548" t="str">
        <f>IF(INDEX(結果!$C$6:$BL$85,$BM45+4,AK$87)="","",INDEX(結果!$C$6:$BL$85,$BM45+4,AK$87))</f>
        <v>かほく市S</v>
      </c>
      <c r="AL49" s="532"/>
      <c r="AM49" s="532"/>
      <c r="AN49" s="532"/>
      <c r="AO49" s="532"/>
      <c r="AP49" s="532"/>
      <c r="AQ49" s="539"/>
      <c r="AR49" s="548" t="str">
        <f>IF(INDEX(結果!$C$6:$BL$85,$BM45+4,AR$87)="","",INDEX(結果!$C$6:$BL$85,$BM45+4,AR$87))</f>
        <v>加賀陸上</v>
      </c>
      <c r="AS49" s="532"/>
      <c r="AT49" s="532"/>
      <c r="AU49" s="532"/>
      <c r="AV49" s="532"/>
      <c r="AW49" s="532"/>
      <c r="AX49" s="539"/>
      <c r="AY49" s="548" t="str">
        <f>IF(INDEX(結果!$C$6:$BL$85,$BM45+4,AY$87)="","",INDEX(結果!$C$6:$BL$85,$BM45+4,AY$87))</f>
        <v>金沢交流</v>
      </c>
      <c r="AZ49" s="532"/>
      <c r="BA49" s="532"/>
      <c r="BB49" s="532"/>
      <c r="BC49" s="532"/>
      <c r="BD49" s="532"/>
      <c r="BE49" s="539"/>
      <c r="BF49" s="573"/>
      <c r="BG49" s="561"/>
      <c r="BH49" s="561"/>
      <c r="BI49" s="575"/>
      <c r="BJ49" s="570"/>
      <c r="BK49" s="47"/>
      <c r="BL49" s="599"/>
    </row>
    <row r="50" spans="1:65" ht="11.25" customHeight="1" x14ac:dyDescent="0.25">
      <c r="A50" s="530"/>
      <c r="B50" s="544">
        <f>IF(D52="","",D51+D52)</f>
        <v>0</v>
      </c>
      <c r="C50" s="537"/>
      <c r="D50" s="537"/>
      <c r="E50" s="9" t="str">
        <f>IF(D52="","",IF(B50=F50,"△",IF(B50&gt;F50,"○","●")))</f>
        <v>●</v>
      </c>
      <c r="F50" s="537">
        <f>IF(F52="","",F51+F52)</f>
        <v>9</v>
      </c>
      <c r="G50" s="537"/>
      <c r="H50" s="542"/>
      <c r="I50" s="544">
        <f>IF(K52="","",K51+K52)</f>
        <v>1</v>
      </c>
      <c r="J50" s="537"/>
      <c r="K50" s="537"/>
      <c r="L50" s="9" t="str">
        <f>IF(K52="","",IF(I50=M50,"△",IF(I50&gt;M50,"○","●")))</f>
        <v>●</v>
      </c>
      <c r="M50" s="537">
        <f>IF(M52="","",M51+M52)</f>
        <v>3</v>
      </c>
      <c r="N50" s="537"/>
      <c r="O50" s="542"/>
      <c r="P50" s="544" t="str">
        <f>IF(R52="","",R51+R52)</f>
        <v/>
      </c>
      <c r="Q50" s="537"/>
      <c r="R50" s="537"/>
      <c r="S50" s="9" t="str">
        <f>IF(R52="","",IF(P50=T50,"△",IF(P50&gt;T50,"○","●")))</f>
        <v/>
      </c>
      <c r="T50" s="537" t="str">
        <f>IF(T52="","",T51+T52)</f>
        <v/>
      </c>
      <c r="U50" s="537"/>
      <c r="V50" s="542"/>
      <c r="W50" s="544">
        <f>IF(Y52="","",Y51+Y52)</f>
        <v>1</v>
      </c>
      <c r="X50" s="537"/>
      <c r="Y50" s="537"/>
      <c r="Z50" s="9" t="str">
        <f>IF(Y52="","",IF(W50=AA50,"△",IF(W50&gt;AA50,"○","●")))</f>
        <v>●</v>
      </c>
      <c r="AA50" s="537">
        <f>IF(AA52="","",AA51+AA52)</f>
        <v>4</v>
      </c>
      <c r="AB50" s="537"/>
      <c r="AC50" s="542"/>
      <c r="AD50" s="2"/>
      <c r="AE50" s="3"/>
      <c r="AF50" s="3"/>
      <c r="AG50" s="3"/>
      <c r="AH50" s="3"/>
      <c r="AI50" s="3"/>
      <c r="AJ50" s="4"/>
      <c r="AK50" s="544" t="str">
        <f>IF(AM52="","",AM51+AM52)</f>
        <v/>
      </c>
      <c r="AL50" s="537"/>
      <c r="AM50" s="537"/>
      <c r="AN50" s="9" t="str">
        <f>IF(AM52="","",IF(AK50=AO50,"△",IF(AK50&gt;AO50,"○","●")))</f>
        <v/>
      </c>
      <c r="AO50" s="537" t="str">
        <f>IF(AO52="","",AO51+AO52)</f>
        <v/>
      </c>
      <c r="AP50" s="537"/>
      <c r="AQ50" s="542"/>
      <c r="AR50" s="544">
        <f>IF(AT52="","",AT51+AT52)</f>
        <v>4</v>
      </c>
      <c r="AS50" s="537"/>
      <c r="AT50" s="537"/>
      <c r="AU50" s="9" t="str">
        <f>IF(AT52="","",IF(AR50=AV50,"△",IF(AR50&gt;AV50,"○","●")))</f>
        <v>○</v>
      </c>
      <c r="AV50" s="537">
        <f>IF(AV52="","",AV51+AV52)</f>
        <v>1</v>
      </c>
      <c r="AW50" s="537"/>
      <c r="AX50" s="542"/>
      <c r="AY50" s="544" t="str">
        <f>IF(BA52="","",BA51+BA52)</f>
        <v/>
      </c>
      <c r="AZ50" s="537"/>
      <c r="BA50" s="537"/>
      <c r="BB50" s="9" t="str">
        <f>IF(BA52="","",IF(AY50=BC50,"△",IF(AY50&gt;BC50,"○","●")))</f>
        <v/>
      </c>
      <c r="BC50" s="537" t="str">
        <f>IF(BC52="","",BC51+BC52)</f>
        <v/>
      </c>
      <c r="BD50" s="537"/>
      <c r="BE50" s="542"/>
      <c r="BF50" s="573"/>
      <c r="BG50" s="561"/>
      <c r="BH50" s="561"/>
      <c r="BI50" s="575"/>
      <c r="BJ50" s="570"/>
      <c r="BK50" s="47"/>
      <c r="BL50" s="599"/>
    </row>
    <row r="51" spans="1:65" ht="11.25" customHeight="1" x14ac:dyDescent="0.25">
      <c r="A51" s="530"/>
      <c r="B51" s="2"/>
      <c r="C51" s="5"/>
      <c r="D51" s="15">
        <f>IF(AH11="","",AH11)</f>
        <v>0</v>
      </c>
      <c r="E51" s="3" t="s">
        <v>199</v>
      </c>
      <c r="F51" s="16">
        <f>IF(AF11="","",AF11)</f>
        <v>2</v>
      </c>
      <c r="G51" s="6"/>
      <c r="H51" s="4"/>
      <c r="I51" s="2"/>
      <c r="J51" s="5"/>
      <c r="K51" s="15">
        <f>IF(AH21="","",AH21)</f>
        <v>1</v>
      </c>
      <c r="L51" s="3" t="s">
        <v>199</v>
      </c>
      <c r="M51" s="16">
        <f>IF(AF21="","",AF21)</f>
        <v>0</v>
      </c>
      <c r="N51" s="6"/>
      <c r="O51" s="4"/>
      <c r="P51" s="2"/>
      <c r="Q51" s="5"/>
      <c r="R51" s="15" t="str">
        <f>IF(AH31="","",AH31)</f>
        <v/>
      </c>
      <c r="S51" s="3" t="s">
        <v>199</v>
      </c>
      <c r="T51" s="16" t="str">
        <f>IF(AF31="","",AF31)</f>
        <v/>
      </c>
      <c r="U51" s="6"/>
      <c r="V51" s="4"/>
      <c r="W51" s="2"/>
      <c r="X51" s="5"/>
      <c r="Y51" s="15">
        <f>IF(AH41="","",AH41)</f>
        <v>0</v>
      </c>
      <c r="Z51" s="3" t="s">
        <v>199</v>
      </c>
      <c r="AA51" s="16">
        <f>IF(AF41="","",AF41)</f>
        <v>2</v>
      </c>
      <c r="AB51" s="6"/>
      <c r="AC51" s="4"/>
      <c r="AD51" s="2"/>
      <c r="AE51" s="3"/>
      <c r="AF51" s="3"/>
      <c r="AG51" s="3"/>
      <c r="AH51" s="3"/>
      <c r="AI51" s="3"/>
      <c r="AJ51" s="4"/>
      <c r="AK51" s="2"/>
      <c r="AL51" s="5"/>
      <c r="AM51" s="15" t="str">
        <f>IF(INDEX(結果!$C$6:$BL$85,$BM45+6,AK$87+2)="","",INDEX(結果!$C$6:$BL$85,$BM45+6,AK$87+2))</f>
        <v/>
      </c>
      <c r="AN51" s="3" t="s">
        <v>199</v>
      </c>
      <c r="AO51" s="16" t="str">
        <f>IF(AM51="","",INDEX(結果!$C$6:$BL$85,$BM45+6,AK$87+4))</f>
        <v/>
      </c>
      <c r="AP51" s="6"/>
      <c r="AQ51" s="4"/>
      <c r="AR51" s="2"/>
      <c r="AS51" s="5"/>
      <c r="AT51" s="15">
        <f>IF(INDEX(結果!$C$6:$BL$85,$BM45+6,AR$87+2)="","",INDEX(結果!$C$6:$BL$85,$BM45+6,AR$87+2))</f>
        <v>2</v>
      </c>
      <c r="AU51" s="3" t="s">
        <v>199</v>
      </c>
      <c r="AV51" s="16">
        <f>IF(AT51="","",INDEX(結果!$C$6:$BL$85,$BM45+6,AR$87+4))</f>
        <v>1</v>
      </c>
      <c r="AW51" s="6"/>
      <c r="AX51" s="4"/>
      <c r="AY51" s="2"/>
      <c r="AZ51" s="5"/>
      <c r="BA51" s="15" t="str">
        <f>IF(INDEX(結果!$C$6:$BL$85,$BM45+6,AY$87+2)="","",INDEX(結果!$C$6:$BL$85,$BM45+6,AY$87+2))</f>
        <v/>
      </c>
      <c r="BB51" s="3" t="s">
        <v>199</v>
      </c>
      <c r="BC51" s="16" t="str">
        <f>IF(BA51="","",INDEX(結果!$C$6:$BL$85,$BM45+6,AY$87+4))</f>
        <v/>
      </c>
      <c r="BD51" s="6"/>
      <c r="BE51" s="4"/>
      <c r="BF51" s="573"/>
      <c r="BG51" s="561"/>
      <c r="BH51" s="561"/>
      <c r="BI51" s="575"/>
      <c r="BJ51" s="570"/>
      <c r="BK51" s="47"/>
      <c r="BL51" s="599"/>
    </row>
    <row r="52" spans="1:65" ht="11.25" customHeight="1" x14ac:dyDescent="0.25">
      <c r="A52" s="530"/>
      <c r="B52" s="2"/>
      <c r="C52" s="7"/>
      <c r="D52" s="15">
        <f>IF(AH12="","",AH12)</f>
        <v>0</v>
      </c>
      <c r="E52" s="3" t="s">
        <v>199</v>
      </c>
      <c r="F52" s="16">
        <f>IF(AF12="","",AF12)</f>
        <v>7</v>
      </c>
      <c r="G52" s="8"/>
      <c r="H52" s="4"/>
      <c r="I52" s="2"/>
      <c r="J52" s="7"/>
      <c r="K52" s="15">
        <f>IF(AH22="","",AH22)</f>
        <v>0</v>
      </c>
      <c r="L52" s="3" t="s">
        <v>199</v>
      </c>
      <c r="M52" s="16">
        <f>IF(AF22="","",AF22)</f>
        <v>3</v>
      </c>
      <c r="N52" s="8"/>
      <c r="O52" s="4"/>
      <c r="P52" s="2"/>
      <c r="Q52" s="7"/>
      <c r="R52" s="15" t="str">
        <f>IF(AH32="","",AH32)</f>
        <v/>
      </c>
      <c r="S52" s="3" t="s">
        <v>199</v>
      </c>
      <c r="T52" s="16" t="str">
        <f>IF(AF32="","",AF32)</f>
        <v/>
      </c>
      <c r="U52" s="8"/>
      <c r="V52" s="4"/>
      <c r="W52" s="2"/>
      <c r="X52" s="7"/>
      <c r="Y52" s="15">
        <f>IF(AH42="","",AH42)</f>
        <v>1</v>
      </c>
      <c r="Z52" s="3" t="s">
        <v>199</v>
      </c>
      <c r="AA52" s="16">
        <f>IF(AF42="","",AF42)</f>
        <v>2</v>
      </c>
      <c r="AB52" s="8"/>
      <c r="AC52" s="4"/>
      <c r="AD52" s="2"/>
      <c r="AE52" s="3"/>
      <c r="AF52" s="3"/>
      <c r="AG52" s="3"/>
      <c r="AH52" s="3"/>
      <c r="AI52" s="3"/>
      <c r="AJ52" s="4"/>
      <c r="AK52" s="2"/>
      <c r="AL52" s="7"/>
      <c r="AM52" s="15" t="str">
        <f>IF(AM51="","",INDEX(結果!$C$6:$BL$85,$BM45+7,AK$87+2))</f>
        <v/>
      </c>
      <c r="AN52" s="3" t="s">
        <v>199</v>
      </c>
      <c r="AO52" s="16" t="str">
        <f>IF(AM52="","",INDEX(結果!$C$6:$BL$85,$BM45+7,AK$87+4))</f>
        <v/>
      </c>
      <c r="AP52" s="8"/>
      <c r="AQ52" s="4"/>
      <c r="AR52" s="2"/>
      <c r="AS52" s="7"/>
      <c r="AT52" s="15">
        <f>IF(AT51="","",INDEX(結果!$C$6:$BL$85,$BM45+7,AR$87+2))</f>
        <v>2</v>
      </c>
      <c r="AU52" s="3" t="s">
        <v>199</v>
      </c>
      <c r="AV52" s="16">
        <f>IF(AT52="","",INDEX(結果!$C$6:$BL$85,$BM45+7,AR$87+4))</f>
        <v>0</v>
      </c>
      <c r="AW52" s="8"/>
      <c r="AX52" s="4"/>
      <c r="AY52" s="2"/>
      <c r="AZ52" s="7"/>
      <c r="BA52" s="15" t="str">
        <f>IF(BA51="","",INDEX(結果!$C$6:$BL$85,$BM45+7,AY$87+2))</f>
        <v/>
      </c>
      <c r="BB52" s="3" t="s">
        <v>199</v>
      </c>
      <c r="BC52" s="16" t="str">
        <f>IF(BA52="","",INDEX(結果!$C$6:$BL$85,$BM45+7,AY$87+4))</f>
        <v/>
      </c>
      <c r="BD52" s="8"/>
      <c r="BE52" s="4"/>
      <c r="BF52" s="573"/>
      <c r="BG52" s="561"/>
      <c r="BH52" s="561"/>
      <c r="BI52" s="575"/>
      <c r="BJ52" s="570"/>
      <c r="BK52" s="47"/>
      <c r="BL52" s="599"/>
    </row>
    <row r="53" spans="1:65" ht="11.25" customHeight="1" x14ac:dyDescent="0.25">
      <c r="A53" s="530"/>
      <c r="B53" s="51"/>
      <c r="C53" s="532" t="str">
        <f>IF(B54="","",AE13)</f>
        <v>⑨</v>
      </c>
      <c r="D53" s="532"/>
      <c r="E53" s="540">
        <f>IF(B54="","",AG13)</f>
        <v>42581</v>
      </c>
      <c r="F53" s="540"/>
      <c r="G53" s="540"/>
      <c r="H53" s="541"/>
      <c r="I53" s="51"/>
      <c r="J53" s="532" t="str">
        <f>IF(I54="","",AE23)</f>
        <v>⑧</v>
      </c>
      <c r="K53" s="532"/>
      <c r="L53" s="540">
        <f>IF(I54="","",AG23)</f>
        <v>42574</v>
      </c>
      <c r="M53" s="540"/>
      <c r="N53" s="540"/>
      <c r="O53" s="541"/>
      <c r="P53" s="51"/>
      <c r="Q53" s="532" t="str">
        <f>IF(P54="","",AE33)</f>
        <v>②</v>
      </c>
      <c r="R53" s="532"/>
      <c r="S53" s="540">
        <f>IF(P54="","",AG33)</f>
        <v>42659</v>
      </c>
      <c r="T53" s="540"/>
      <c r="U53" s="540"/>
      <c r="V53" s="541"/>
      <c r="W53" s="51"/>
      <c r="X53" s="532" t="str">
        <f>IF(W54="","",AE43)</f>
        <v>②</v>
      </c>
      <c r="Y53" s="532"/>
      <c r="Z53" s="540">
        <f>IF(W54="","",AG43)</f>
        <v>42644</v>
      </c>
      <c r="AA53" s="540"/>
      <c r="AB53" s="540"/>
      <c r="AC53" s="541"/>
      <c r="AD53" s="2"/>
      <c r="AE53" s="3"/>
      <c r="AF53" s="3"/>
      <c r="AG53" s="3"/>
      <c r="AH53" s="3"/>
      <c r="AI53" s="3"/>
      <c r="AJ53" s="4"/>
      <c r="AK53" s="80"/>
      <c r="AL53" s="532" t="str">
        <f>IF(AK54="","",INDEX(結果!$C$6:$BL$85,$BM45+8,AK$87+1))</f>
        <v>②</v>
      </c>
      <c r="AM53" s="532"/>
      <c r="AN53" s="546">
        <f>IF(AK54="","",INDEX(結果!$C$6:$BL$85,$BM45+8,AK$87+3))</f>
        <v>42677</v>
      </c>
      <c r="AO53" s="546"/>
      <c r="AP53" s="546"/>
      <c r="AQ53" s="547"/>
      <c r="AR53" s="80"/>
      <c r="AS53" s="532" t="str">
        <f>IF(AR54="","",INDEX(結果!$C$6:$BL$85,$BM45+8,AR$87+1))</f>
        <v>②</v>
      </c>
      <c r="AT53" s="532"/>
      <c r="AU53" s="546">
        <f>IF(AR54="","",INDEX(結果!$C$6:$BL$85,$BM45+8,AR$87+3))</f>
        <v>42617</v>
      </c>
      <c r="AV53" s="546"/>
      <c r="AW53" s="546"/>
      <c r="AX53" s="547"/>
      <c r="AY53" s="80"/>
      <c r="AZ53" s="532" t="str">
        <f>IF(AY54="","",INDEX(結果!$C$6:$BL$85,$BM45+8,AY$87+1))</f>
        <v>②</v>
      </c>
      <c r="BA53" s="532"/>
      <c r="BB53" s="546">
        <f>IF(AY54="","",INDEX(結果!$C$6:$BL$85,$BM45+8,AY$87+3))</f>
        <v>42665</v>
      </c>
      <c r="BC53" s="546"/>
      <c r="BD53" s="546"/>
      <c r="BE53" s="547"/>
      <c r="BF53" s="573"/>
      <c r="BG53" s="561"/>
      <c r="BH53" s="561"/>
      <c r="BI53" s="575"/>
      <c r="BJ53" s="570"/>
      <c r="BK53" s="47"/>
      <c r="BL53" s="599"/>
    </row>
    <row r="54" spans="1:65" ht="11.25" customHeight="1" x14ac:dyDescent="0.25">
      <c r="A54" s="531"/>
      <c r="B54" s="543" t="str">
        <f>IF(AD14="","",AD14)</f>
        <v>金沢市民</v>
      </c>
      <c r="C54" s="534"/>
      <c r="D54" s="534"/>
      <c r="E54" s="534"/>
      <c r="F54" s="534"/>
      <c r="G54" s="534"/>
      <c r="H54" s="535"/>
      <c r="I54" s="543" t="str">
        <f>IF(AD24="","",AD24)</f>
        <v>北陸大FPB</v>
      </c>
      <c r="J54" s="534"/>
      <c r="K54" s="534"/>
      <c r="L54" s="534"/>
      <c r="M54" s="534"/>
      <c r="N54" s="534"/>
      <c r="O54" s="535"/>
      <c r="P54" s="543" t="str">
        <f>IF(AD34="","",AD34)</f>
        <v>かほく市S</v>
      </c>
      <c r="Q54" s="534"/>
      <c r="R54" s="534"/>
      <c r="S54" s="534"/>
      <c r="T54" s="534"/>
      <c r="U54" s="534"/>
      <c r="V54" s="535"/>
      <c r="W54" s="543" t="str">
        <f>IF(AD44="","",AD44)</f>
        <v>金沢市民</v>
      </c>
      <c r="X54" s="534"/>
      <c r="Y54" s="534"/>
      <c r="Z54" s="534"/>
      <c r="AA54" s="534"/>
      <c r="AB54" s="534"/>
      <c r="AC54" s="535"/>
      <c r="AD54" s="2"/>
      <c r="AE54" s="3"/>
      <c r="AF54" s="3"/>
      <c r="AG54" s="3"/>
      <c r="AH54" s="3"/>
      <c r="AI54" s="3"/>
      <c r="AJ54" s="4"/>
      <c r="AK54" s="543" t="str">
        <f>IF(INDEX(結果!$C$6:$BL$85,$BM45+9,AK$87)="","",INDEX(結果!$C$6:$BL$85,$BM45+9,AK$87))</f>
        <v>金沢市民</v>
      </c>
      <c r="AL54" s="534"/>
      <c r="AM54" s="534"/>
      <c r="AN54" s="534"/>
      <c r="AO54" s="534"/>
      <c r="AP54" s="534"/>
      <c r="AQ54" s="535"/>
      <c r="AR54" s="543" t="str">
        <f>IF(INDEX(結果!$C$6:$BL$85,$BM45+9,AR$87)="","",INDEX(結果!$C$6:$BL$85,$BM45+9,AR$87))</f>
        <v>小松市民</v>
      </c>
      <c r="AS54" s="534"/>
      <c r="AT54" s="534"/>
      <c r="AU54" s="534"/>
      <c r="AV54" s="534"/>
      <c r="AW54" s="534"/>
      <c r="AX54" s="535"/>
      <c r="AY54" s="543" t="str">
        <f>IF(INDEX(結果!$C$6:$BL$85,$BM45+9,AY$87)="","",INDEX(結果!$C$6:$BL$85,$BM45+9,AY$87))</f>
        <v>金沢交流</v>
      </c>
      <c r="AZ54" s="534"/>
      <c r="BA54" s="534"/>
      <c r="BB54" s="534"/>
      <c r="BC54" s="534"/>
      <c r="BD54" s="534"/>
      <c r="BE54" s="535"/>
      <c r="BF54" s="589"/>
      <c r="BG54" s="562"/>
      <c r="BH54" s="562"/>
      <c r="BI54" s="584"/>
      <c r="BJ54" s="571"/>
      <c r="BK54" s="47"/>
      <c r="BL54" s="599"/>
    </row>
    <row r="55" spans="1:65" ht="11.25" customHeight="1" x14ac:dyDescent="0.25">
      <c r="A55" s="529" t="str">
        <f>INDEX(結果!$B$6:$BL$85,MATCH($BL55,結果!BP$6:BP$85,0),1)</f>
        <v>Riopedra
加賀FC</v>
      </c>
      <c r="B55" s="536">
        <f>IF(D57="","",D56+D57)</f>
        <v>0</v>
      </c>
      <c r="C55" s="537"/>
      <c r="D55" s="537"/>
      <c r="E55" s="9" t="str">
        <f>IF(D57="","",IF(B55=F55,"△",IF(B55&gt;F55,"○","●")))</f>
        <v>●</v>
      </c>
      <c r="F55" s="537">
        <f>IF(F57="","",F56+F57)</f>
        <v>3</v>
      </c>
      <c r="G55" s="537"/>
      <c r="H55" s="542"/>
      <c r="I55" s="544">
        <f>IF(K57="","",K56+K57)</f>
        <v>0</v>
      </c>
      <c r="J55" s="537"/>
      <c r="K55" s="537"/>
      <c r="L55" s="9" t="str">
        <f>IF(K57="","",IF(I55=M55,"△",IF(I55&gt;M55,"○","●")))</f>
        <v>●</v>
      </c>
      <c r="M55" s="537">
        <f>IF(M57="","",M56+M57)</f>
        <v>7</v>
      </c>
      <c r="N55" s="537"/>
      <c r="O55" s="542"/>
      <c r="P55" s="544">
        <f>IF(R57="","",R56+R57)</f>
        <v>0</v>
      </c>
      <c r="Q55" s="537"/>
      <c r="R55" s="537"/>
      <c r="S55" s="9" t="str">
        <f>IF(R57="","",IF(P55=T55,"△",IF(P55&gt;T55,"○","●")))</f>
        <v>●</v>
      </c>
      <c r="T55" s="537">
        <f>IF(T57="","",T56+T57)</f>
        <v>1</v>
      </c>
      <c r="U55" s="537"/>
      <c r="V55" s="542"/>
      <c r="W55" s="544">
        <f>IF(Y57="","",Y56+Y57)</f>
        <v>1</v>
      </c>
      <c r="X55" s="537"/>
      <c r="Y55" s="537"/>
      <c r="Z55" s="9" t="str">
        <f>IF(Y57="","",IF(W55=AA55,"△",IF(W55&gt;AA55,"○","●")))</f>
        <v>●</v>
      </c>
      <c r="AA55" s="537">
        <f>IF(AA57="","",AA56+AA57)</f>
        <v>2</v>
      </c>
      <c r="AB55" s="537"/>
      <c r="AC55" s="542"/>
      <c r="AD55" s="544">
        <f>IF(AF57="","",AF56+AF57)</f>
        <v>0</v>
      </c>
      <c r="AE55" s="537"/>
      <c r="AF55" s="537"/>
      <c r="AG55" s="9" t="str">
        <f>IF(AF57="","",IF(AD55=AH55,"△",IF(AD55&gt;AH55,"○","●")))</f>
        <v>●</v>
      </c>
      <c r="AH55" s="537">
        <f>IF(AH57="","",AH56+AH57)</f>
        <v>3</v>
      </c>
      <c r="AI55" s="537"/>
      <c r="AJ55" s="542"/>
      <c r="AK55" s="5"/>
      <c r="AL55" s="85"/>
      <c r="AM55" s="85"/>
      <c r="AN55" s="85"/>
      <c r="AO55" s="85"/>
      <c r="AP55" s="85"/>
      <c r="AQ55" s="6"/>
      <c r="AR55" s="544">
        <f>IF(AT57="","",AT56+AT57)</f>
        <v>1</v>
      </c>
      <c r="AS55" s="537"/>
      <c r="AT55" s="537"/>
      <c r="AU55" s="9" t="str">
        <f>IF(AT57="","",IF(AR55=AV55,"△",IF(AR55&gt;AV55,"○","●")))</f>
        <v>○</v>
      </c>
      <c r="AV55" s="537">
        <f>IF(AV57="","",AV56+AV57)</f>
        <v>0</v>
      </c>
      <c r="AW55" s="537"/>
      <c r="AX55" s="542"/>
      <c r="AY55" s="544">
        <f>IF(BA57="","",BA56+BA57)</f>
        <v>3</v>
      </c>
      <c r="AZ55" s="537"/>
      <c r="BA55" s="537"/>
      <c r="BB55" s="9" t="str">
        <f>IF(BA57="","",IF(AY55=BC55,"△",IF(AY55&gt;BC55,"○","●")))</f>
        <v>○</v>
      </c>
      <c r="BC55" s="537">
        <f>IF(BC57="","",BC56+BC57)</f>
        <v>1</v>
      </c>
      <c r="BD55" s="537"/>
      <c r="BE55" s="566"/>
      <c r="BF55" s="588">
        <f>IF(COUNT(B56:BE56)=0,"",COUNTIF(AN$5:AN$84,"●")*3+COUNTIF(AN$5:AN$84,"△"))</f>
        <v>7</v>
      </c>
      <c r="BG55" s="560">
        <f>IF(BF55="","",SUM(AO$5:AO$84)/2)</f>
        <v>7</v>
      </c>
      <c r="BH55" s="560">
        <f>IF(BF55="","",SUM(AK$5:AK$84))</f>
        <v>30</v>
      </c>
      <c r="BI55" s="583">
        <f>IF(BF55="","",BG55-BH55)</f>
        <v>-23</v>
      </c>
      <c r="BJ55" s="569">
        <f>IF(BF55="","",RANK(BK55,BK$5:BK$84))</f>
        <v>6</v>
      </c>
      <c r="BK55" s="47">
        <f>IF(BF55="",-ROW()*10000,BF55*10000+BI55*100+BG55+COUNTIF(B55:BE55,"&gt;=0")/20)</f>
        <v>67707.7</v>
      </c>
      <c r="BL55" s="599">
        <v>6</v>
      </c>
      <c r="BM55" s="1">
        <f>INDEX(結果!BM$6:BN$85,MATCH(BL55,結果!BP$6:BP$85,0),2)</f>
        <v>31</v>
      </c>
    </row>
    <row r="56" spans="1:65" ht="10.5" customHeight="1" x14ac:dyDescent="0.25">
      <c r="A56" s="530"/>
      <c r="B56" s="3"/>
      <c r="C56" s="5"/>
      <c r="D56" s="15">
        <f>IF(AO6="","",AO6)</f>
        <v>0</v>
      </c>
      <c r="E56" s="3" t="s">
        <v>199</v>
      </c>
      <c r="F56" s="16">
        <f>IF(AM6="","",AM6)</f>
        <v>2</v>
      </c>
      <c r="G56" s="6"/>
      <c r="H56" s="4"/>
      <c r="I56" s="2"/>
      <c r="J56" s="5"/>
      <c r="K56" s="15">
        <f>IF(AO16="","",AO16)</f>
        <v>0</v>
      </c>
      <c r="L56" s="3" t="s">
        <v>199</v>
      </c>
      <c r="M56" s="16">
        <f>IF(AM16="","",AM16)</f>
        <v>5</v>
      </c>
      <c r="N56" s="6"/>
      <c r="O56" s="4"/>
      <c r="P56" s="2"/>
      <c r="Q56" s="5"/>
      <c r="R56" s="15">
        <f>IF(AO26="","",AO26)</f>
        <v>0</v>
      </c>
      <c r="S56" s="3" t="s">
        <v>199</v>
      </c>
      <c r="T56" s="16">
        <f>IF(AM26="","",AM26)</f>
        <v>1</v>
      </c>
      <c r="U56" s="6"/>
      <c r="V56" s="4"/>
      <c r="W56" s="2"/>
      <c r="X56" s="5"/>
      <c r="Y56" s="15">
        <f>IF(AO36="","",AO36)</f>
        <v>0</v>
      </c>
      <c r="Z56" s="3" t="s">
        <v>199</v>
      </c>
      <c r="AA56" s="16">
        <f>IF(AM36="","",AM36)</f>
        <v>1</v>
      </c>
      <c r="AB56" s="6"/>
      <c r="AC56" s="4"/>
      <c r="AD56" s="2"/>
      <c r="AE56" s="5"/>
      <c r="AF56" s="15">
        <f>IF(AO46="","",AO46)</f>
        <v>0</v>
      </c>
      <c r="AG56" s="3" t="s">
        <v>199</v>
      </c>
      <c r="AH56" s="16">
        <f>IF(AM46="","",AM46)</f>
        <v>0</v>
      </c>
      <c r="AI56" s="6"/>
      <c r="AJ56" s="4"/>
      <c r="AK56" s="2"/>
      <c r="AL56" s="3"/>
      <c r="AM56" s="3"/>
      <c r="AN56" s="3"/>
      <c r="AO56" s="3"/>
      <c r="AP56" s="3"/>
      <c r="AQ56" s="4"/>
      <c r="AR56" s="2"/>
      <c r="AS56" s="5"/>
      <c r="AT56" s="15">
        <f>IF(INDEX(結果!$C$6:$BL$85,$BM55+1,AR$87+2)="","",INDEX(結果!$C$6:$BL$85,$BM55+1,AR$87+2))</f>
        <v>0</v>
      </c>
      <c r="AU56" s="3" t="s">
        <v>199</v>
      </c>
      <c r="AV56" s="16">
        <f>IF(AT56="","",INDEX(結果!$C$6:$BL$85,$BM55+1,AR$87+4))</f>
        <v>0</v>
      </c>
      <c r="AW56" s="6"/>
      <c r="AX56" s="4"/>
      <c r="AY56" s="2"/>
      <c r="AZ56" s="5"/>
      <c r="BA56" s="15">
        <f>IF(INDEX(結果!$C$6:$BL$85,$BM55+1,AY$87+2)="","",INDEX(結果!$C$6:$BL$85,$BM55+1,AY$87+2))</f>
        <v>1</v>
      </c>
      <c r="BB56" s="3" t="s">
        <v>199</v>
      </c>
      <c r="BC56" s="16">
        <f>IF(BA56="","",INDEX(結果!$C$6:$BL$85,$BM55+1,AY$87+4))</f>
        <v>0</v>
      </c>
      <c r="BD56" s="6"/>
      <c r="BE56" s="4"/>
      <c r="BF56" s="573"/>
      <c r="BG56" s="561"/>
      <c r="BH56" s="561"/>
      <c r="BI56" s="575"/>
      <c r="BJ56" s="570"/>
      <c r="BK56" s="47"/>
      <c r="BL56" s="599"/>
    </row>
    <row r="57" spans="1:65" ht="10.5" customHeight="1" x14ac:dyDescent="0.25">
      <c r="A57" s="530"/>
      <c r="B57" s="3"/>
      <c r="C57" s="7"/>
      <c r="D57" s="15">
        <f>IF(AO7="","",AO7)</f>
        <v>0</v>
      </c>
      <c r="E57" s="3" t="s">
        <v>199</v>
      </c>
      <c r="F57" s="16">
        <f>IF(AM7="","",AM7)</f>
        <v>1</v>
      </c>
      <c r="G57" s="8"/>
      <c r="H57" s="4"/>
      <c r="I57" s="2"/>
      <c r="J57" s="7"/>
      <c r="K57" s="15">
        <f>IF(AO17="","",AO17)</f>
        <v>0</v>
      </c>
      <c r="L57" s="3" t="s">
        <v>199</v>
      </c>
      <c r="M57" s="16">
        <f>IF(AM17="","",AM17)</f>
        <v>2</v>
      </c>
      <c r="N57" s="8"/>
      <c r="O57" s="4"/>
      <c r="P57" s="2"/>
      <c r="Q57" s="7"/>
      <c r="R57" s="15">
        <f>IF(AO27="","",AO27)</f>
        <v>0</v>
      </c>
      <c r="S57" s="3" t="s">
        <v>199</v>
      </c>
      <c r="T57" s="16">
        <f>IF(AM27="","",AM27)</f>
        <v>0</v>
      </c>
      <c r="U57" s="8"/>
      <c r="V57" s="4"/>
      <c r="W57" s="2"/>
      <c r="X57" s="7"/>
      <c r="Y57" s="15">
        <f>IF(AO37="","",AO37)</f>
        <v>1</v>
      </c>
      <c r="Z57" s="3" t="s">
        <v>199</v>
      </c>
      <c r="AA57" s="16">
        <f>IF(AM37="","",AM37)</f>
        <v>1</v>
      </c>
      <c r="AB57" s="8"/>
      <c r="AC57" s="4"/>
      <c r="AD57" s="2"/>
      <c r="AE57" s="7"/>
      <c r="AF57" s="15">
        <f>IF(AO47="","",AO47)</f>
        <v>0</v>
      </c>
      <c r="AG57" s="3" t="s">
        <v>199</v>
      </c>
      <c r="AH57" s="16">
        <f>IF(AM47="","",AM47)</f>
        <v>3</v>
      </c>
      <c r="AI57" s="8"/>
      <c r="AJ57" s="4"/>
      <c r="AK57" s="2"/>
      <c r="AL57" s="3"/>
      <c r="AM57" s="3"/>
      <c r="AN57" s="3"/>
      <c r="AO57" s="3"/>
      <c r="AP57" s="3"/>
      <c r="AQ57" s="4"/>
      <c r="AR57" s="2"/>
      <c r="AS57" s="7"/>
      <c r="AT57" s="15">
        <f>IF(AT56="","",INDEX(結果!$C$6:$BL$85,$BM55+2,AR$87+2))</f>
        <v>1</v>
      </c>
      <c r="AU57" s="3" t="s">
        <v>199</v>
      </c>
      <c r="AV57" s="16">
        <f>IF(AT57="","",INDEX(結果!$C$6:$BL$85,$BM55+2,AR$87+4))</f>
        <v>0</v>
      </c>
      <c r="AW57" s="8"/>
      <c r="AX57" s="4"/>
      <c r="AY57" s="2"/>
      <c r="AZ57" s="7"/>
      <c r="BA57" s="15">
        <f>IF(BA56="","",INDEX(結果!$C$6:$BL$85,$BM55+2,AY$87+2))</f>
        <v>2</v>
      </c>
      <c r="BB57" s="3" t="s">
        <v>199</v>
      </c>
      <c r="BC57" s="16">
        <f>IF(BA57="","",INDEX(結果!$C$6:$BL$85,$BM55+2,AY$87+4))</f>
        <v>1</v>
      </c>
      <c r="BD57" s="8"/>
      <c r="BE57" s="4"/>
      <c r="BF57" s="573"/>
      <c r="BG57" s="561"/>
      <c r="BH57" s="561"/>
      <c r="BI57" s="575"/>
      <c r="BJ57" s="570"/>
      <c r="BK57" s="47"/>
      <c r="BL57" s="599"/>
    </row>
    <row r="58" spans="1:65" ht="11.25" customHeight="1" x14ac:dyDescent="0.25">
      <c r="A58" s="530"/>
      <c r="B58" s="51"/>
      <c r="C58" s="532" t="str">
        <f>IF(B59="","",AL8)</f>
        <v>⑦</v>
      </c>
      <c r="D58" s="532"/>
      <c r="E58" s="540">
        <f>IF(B59="","",AN8)</f>
        <v>42554</v>
      </c>
      <c r="F58" s="540"/>
      <c r="G58" s="540"/>
      <c r="H58" s="541"/>
      <c r="I58" s="51"/>
      <c r="J58" s="532" t="str">
        <f>IF(I59="","",AL18)</f>
        <v>③</v>
      </c>
      <c r="K58" s="532"/>
      <c r="L58" s="540">
        <f>IF(I59="","",AN18)</f>
        <v>42497</v>
      </c>
      <c r="M58" s="540"/>
      <c r="N58" s="540"/>
      <c r="O58" s="541"/>
      <c r="P58" s="51"/>
      <c r="Q58" s="532" t="str">
        <f>IF(P59="","",AL28)</f>
        <v>①</v>
      </c>
      <c r="R58" s="532"/>
      <c r="S58" s="540">
        <f>IF(P59="","",AN28)</f>
        <v>42489</v>
      </c>
      <c r="T58" s="540"/>
      <c r="U58" s="540"/>
      <c r="V58" s="541"/>
      <c r="W58" s="51"/>
      <c r="X58" s="532" t="str">
        <f>IF(W59="","",AL38)</f>
        <v>②</v>
      </c>
      <c r="Y58" s="532"/>
      <c r="Z58" s="540">
        <f>IF(W59="","",AN38)</f>
        <v>42491</v>
      </c>
      <c r="AA58" s="540"/>
      <c r="AB58" s="540"/>
      <c r="AC58" s="541"/>
      <c r="AD58" s="51"/>
      <c r="AE58" s="532" t="str">
        <f>IF(AD59="","",AL48)</f>
        <v>④</v>
      </c>
      <c r="AF58" s="532"/>
      <c r="AG58" s="540">
        <f>IF(AD59="","",AN48)</f>
        <v>42505</v>
      </c>
      <c r="AH58" s="540"/>
      <c r="AI58" s="540"/>
      <c r="AJ58" s="541"/>
      <c r="AK58" s="2"/>
      <c r="AL58" s="3"/>
      <c r="AM58" s="3"/>
      <c r="AN58" s="3"/>
      <c r="AO58" s="3"/>
      <c r="AP58" s="3"/>
      <c r="AQ58" s="4"/>
      <c r="AR58" s="80"/>
      <c r="AS58" s="532" t="str">
        <f>IF(AR59="","",INDEX(結果!$C$6:$BL$85,$BM55+3,AR$87+1))</f>
        <v>⑦</v>
      </c>
      <c r="AT58" s="532"/>
      <c r="AU58" s="546">
        <f>IF(AR59="","",INDEX(結果!$C$6:$BL$85,$BM55+3,AR$87+3))</f>
        <v>42546</v>
      </c>
      <c r="AV58" s="546"/>
      <c r="AW58" s="546"/>
      <c r="AX58" s="547"/>
      <c r="AY58" s="80"/>
      <c r="AZ58" s="532" t="str">
        <f>IF(AY59="","",INDEX(結果!$C$6:$BL$85,$BM55+3,AY$87+1))</f>
        <v>⑤</v>
      </c>
      <c r="BA58" s="532"/>
      <c r="BB58" s="546">
        <f>IF(AY59="","",INDEX(結果!$C$6:$BL$85,$BM55+3,AY$87+3))</f>
        <v>42512</v>
      </c>
      <c r="BC58" s="546"/>
      <c r="BD58" s="546"/>
      <c r="BE58" s="547"/>
      <c r="BF58" s="573"/>
      <c r="BG58" s="561"/>
      <c r="BH58" s="561"/>
      <c r="BI58" s="575"/>
      <c r="BJ58" s="570"/>
      <c r="BK58" s="47"/>
      <c r="BL58" s="599"/>
    </row>
    <row r="59" spans="1:65" ht="11.25" customHeight="1" x14ac:dyDescent="0.25">
      <c r="A59" s="530"/>
      <c r="B59" s="543" t="str">
        <f>IF(AK9="","",AK9)</f>
        <v>加賀陸上</v>
      </c>
      <c r="C59" s="534"/>
      <c r="D59" s="534"/>
      <c r="E59" s="534"/>
      <c r="F59" s="534"/>
      <c r="G59" s="534"/>
      <c r="H59" s="535"/>
      <c r="I59" s="543" t="str">
        <f>IF(AK19="","",AK19)</f>
        <v>金沢交流</v>
      </c>
      <c r="J59" s="534"/>
      <c r="K59" s="534"/>
      <c r="L59" s="534"/>
      <c r="M59" s="534"/>
      <c r="N59" s="534"/>
      <c r="O59" s="535"/>
      <c r="P59" s="543" t="str">
        <f>IF(AK29="","",AK29)</f>
        <v>星稜ｻｯｶｰ場</v>
      </c>
      <c r="Q59" s="534"/>
      <c r="R59" s="534"/>
      <c r="S59" s="534"/>
      <c r="T59" s="534"/>
      <c r="U59" s="534"/>
      <c r="V59" s="535"/>
      <c r="W59" s="543" t="str">
        <f>IF(AK39="","",AK39)</f>
        <v>能登島Ｂ</v>
      </c>
      <c r="X59" s="534"/>
      <c r="Y59" s="534"/>
      <c r="Z59" s="534"/>
      <c r="AA59" s="534"/>
      <c r="AB59" s="534"/>
      <c r="AC59" s="535"/>
      <c r="AD59" s="543" t="str">
        <f>IF(AK49="","",AK49)</f>
        <v>かほく市S</v>
      </c>
      <c r="AE59" s="534"/>
      <c r="AF59" s="534"/>
      <c r="AG59" s="534"/>
      <c r="AH59" s="534"/>
      <c r="AI59" s="534"/>
      <c r="AJ59" s="535"/>
      <c r="AK59" s="2"/>
      <c r="AL59" s="3"/>
      <c r="AM59" s="3"/>
      <c r="AN59" s="3"/>
      <c r="AO59" s="3"/>
      <c r="AP59" s="3"/>
      <c r="AQ59" s="4"/>
      <c r="AR59" s="548" t="str">
        <f>IF(INDEX(結果!$C$6:$BL$85,$BM55+4,AR$87)="","",INDEX(結果!$C$6:$BL$85,$BM55+4,AR$87))</f>
        <v>加賀陸上</v>
      </c>
      <c r="AS59" s="532"/>
      <c r="AT59" s="532"/>
      <c r="AU59" s="532"/>
      <c r="AV59" s="532"/>
      <c r="AW59" s="532"/>
      <c r="AX59" s="539"/>
      <c r="AY59" s="548" t="str">
        <f>IF(INDEX(結果!$C$6:$BL$85,$BM55+4,AY$87)="","",INDEX(結果!$C$6:$BL$85,$BM55+4,AY$87))</f>
        <v>加賀陸上</v>
      </c>
      <c r="AZ59" s="532"/>
      <c r="BA59" s="532"/>
      <c r="BB59" s="532"/>
      <c r="BC59" s="532"/>
      <c r="BD59" s="532"/>
      <c r="BE59" s="539"/>
      <c r="BF59" s="573"/>
      <c r="BG59" s="561"/>
      <c r="BH59" s="561"/>
      <c r="BI59" s="575"/>
      <c r="BJ59" s="570"/>
      <c r="BK59" s="47"/>
      <c r="BL59" s="599"/>
    </row>
    <row r="60" spans="1:65" ht="11.25" customHeight="1" x14ac:dyDescent="0.25">
      <c r="A60" s="530"/>
      <c r="B60" s="536" t="str">
        <f>IF(D62="","",D61+D62)</f>
        <v/>
      </c>
      <c r="C60" s="537"/>
      <c r="D60" s="537"/>
      <c r="E60" s="9" t="str">
        <f>IF(D62="","",IF(B60=F60,"△",IF(B60&gt;F60,"○","●")))</f>
        <v/>
      </c>
      <c r="F60" s="537" t="str">
        <f>IF(F62="","",F61+F62)</f>
        <v/>
      </c>
      <c r="G60" s="537"/>
      <c r="H60" s="542"/>
      <c r="I60" s="544">
        <f>IF(K62="","",K61+K62)</f>
        <v>0</v>
      </c>
      <c r="J60" s="537"/>
      <c r="K60" s="537"/>
      <c r="L60" s="9" t="str">
        <f>IF(K62="","",IF(I60=M60,"△",IF(I60&gt;M60,"○","●")))</f>
        <v>●</v>
      </c>
      <c r="M60" s="537">
        <f>IF(M62="","",M61+M62)</f>
        <v>7</v>
      </c>
      <c r="N60" s="537"/>
      <c r="O60" s="542"/>
      <c r="P60" s="544">
        <f>IF(R62="","",R61+R62)</f>
        <v>1</v>
      </c>
      <c r="Q60" s="537"/>
      <c r="R60" s="537"/>
      <c r="S60" s="9" t="str">
        <f>IF(R62="","",IF(P60=T60,"△",IF(P60&gt;T60,"○","●")))</f>
        <v>●</v>
      </c>
      <c r="T60" s="537">
        <f>IF(T62="","",T61+T62)</f>
        <v>3</v>
      </c>
      <c r="U60" s="537"/>
      <c r="V60" s="542"/>
      <c r="W60" s="544">
        <f>IF(Y62="","",Y61+Y62)</f>
        <v>0</v>
      </c>
      <c r="X60" s="537"/>
      <c r="Y60" s="537"/>
      <c r="Z60" s="9" t="str">
        <f>IF(Y62="","",IF(W60=AA60,"△",IF(W60&gt;AA60,"○","●")))</f>
        <v>●</v>
      </c>
      <c r="AA60" s="537">
        <f>IF(AA62="","",AA61+AA62)</f>
        <v>2</v>
      </c>
      <c r="AB60" s="537"/>
      <c r="AC60" s="542"/>
      <c r="AD60" s="544" t="str">
        <f>IF(AF62="","",AF61+AF62)</f>
        <v/>
      </c>
      <c r="AE60" s="537"/>
      <c r="AF60" s="537"/>
      <c r="AG60" s="9" t="str">
        <f>IF(AF62="","",IF(AD60=AH60,"△",IF(AD60&gt;AH60,"○","●")))</f>
        <v/>
      </c>
      <c r="AH60" s="537" t="str">
        <f>IF(AH62="","",AH61+AH62)</f>
        <v/>
      </c>
      <c r="AI60" s="537"/>
      <c r="AJ60" s="542"/>
      <c r="AK60" s="2"/>
      <c r="AL60" s="3"/>
      <c r="AM60" s="3"/>
      <c r="AN60" s="3"/>
      <c r="AO60" s="3"/>
      <c r="AP60" s="3"/>
      <c r="AQ60" s="4"/>
      <c r="AR60" s="544" t="str">
        <f>IF(AT62="","",AT61+AT62)</f>
        <v/>
      </c>
      <c r="AS60" s="537"/>
      <c r="AT60" s="537"/>
      <c r="AU60" s="9" t="str">
        <f>IF(AT62="","",IF(AR60=AV60,"△",IF(AR60&gt;AV60,"○","●")))</f>
        <v/>
      </c>
      <c r="AV60" s="537" t="str">
        <f>IF(AV62="","",AV61+AV62)</f>
        <v/>
      </c>
      <c r="AW60" s="537"/>
      <c r="AX60" s="542"/>
      <c r="AY60" s="544">
        <f>IF(BA62="","",BA61+BA62)</f>
        <v>1</v>
      </c>
      <c r="AZ60" s="537"/>
      <c r="BA60" s="537"/>
      <c r="BB60" s="9" t="str">
        <f>IF(BA62="","",IF(AY60=BC60,"△",IF(AY60&gt;BC60,"○","●")))</f>
        <v>△</v>
      </c>
      <c r="BC60" s="537">
        <f>IF(BC62="","",BC61+BC62)</f>
        <v>1</v>
      </c>
      <c r="BD60" s="537"/>
      <c r="BE60" s="542"/>
      <c r="BF60" s="573"/>
      <c r="BG60" s="561"/>
      <c r="BH60" s="561"/>
      <c r="BI60" s="575"/>
      <c r="BJ60" s="570"/>
      <c r="BK60" s="47"/>
      <c r="BL60" s="599"/>
    </row>
    <row r="61" spans="1:65" ht="11.25" customHeight="1" x14ac:dyDescent="0.25">
      <c r="A61" s="530"/>
      <c r="B61" s="3"/>
      <c r="C61" s="5"/>
      <c r="D61" s="15" t="str">
        <f>IF(AO11="","",AO11)</f>
        <v/>
      </c>
      <c r="E61" s="3" t="s">
        <v>199</v>
      </c>
      <c r="F61" s="16" t="str">
        <f>IF(AM11="","",AM11)</f>
        <v/>
      </c>
      <c r="G61" s="6"/>
      <c r="H61" s="4"/>
      <c r="I61" s="2"/>
      <c r="J61" s="5"/>
      <c r="K61" s="15">
        <f>IF(AO21="","",AO21)</f>
        <v>0</v>
      </c>
      <c r="L61" s="3" t="s">
        <v>199</v>
      </c>
      <c r="M61" s="16">
        <f>IF(AM21="","",AM21)</f>
        <v>1</v>
      </c>
      <c r="N61" s="6"/>
      <c r="O61" s="4"/>
      <c r="P61" s="2"/>
      <c r="Q61" s="5"/>
      <c r="R61" s="15">
        <f>IF(AO31="","",AO31)</f>
        <v>1</v>
      </c>
      <c r="S61" s="3" t="s">
        <v>199</v>
      </c>
      <c r="T61" s="16">
        <f>IF(AM31="","",AM31)</f>
        <v>1</v>
      </c>
      <c r="U61" s="6"/>
      <c r="V61" s="4"/>
      <c r="W61" s="2"/>
      <c r="X61" s="5"/>
      <c r="Y61" s="15">
        <f>IF(AO41="","",AO41)</f>
        <v>0</v>
      </c>
      <c r="Z61" s="3" t="s">
        <v>199</v>
      </c>
      <c r="AA61" s="16">
        <f>IF(AM41="","",AM41)</f>
        <v>0</v>
      </c>
      <c r="AB61" s="6"/>
      <c r="AC61" s="4"/>
      <c r="AD61" s="2"/>
      <c r="AE61" s="5"/>
      <c r="AF61" s="15" t="str">
        <f>IF(AO51="","",AO51)</f>
        <v/>
      </c>
      <c r="AG61" s="3" t="s">
        <v>199</v>
      </c>
      <c r="AH61" s="16" t="str">
        <f>IF(AM51="","",AM51)</f>
        <v/>
      </c>
      <c r="AI61" s="6"/>
      <c r="AJ61" s="4"/>
      <c r="AK61" s="2"/>
      <c r="AL61" s="3"/>
      <c r="AM61" s="3"/>
      <c r="AN61" s="3"/>
      <c r="AO61" s="3"/>
      <c r="AP61" s="3"/>
      <c r="AQ61" s="4"/>
      <c r="AR61" s="2"/>
      <c r="AS61" s="5"/>
      <c r="AT61" s="15" t="str">
        <f>IF(INDEX(結果!$C$6:$BL$85,$BM55+6,AR$87+2)="","",INDEX(結果!$C$6:$BL$85,$BM55+6,AR$87+2))</f>
        <v/>
      </c>
      <c r="AU61" s="3" t="s">
        <v>199</v>
      </c>
      <c r="AV61" s="16" t="str">
        <f>IF(AT61="","",INDEX(結果!$C$6:$BL$85,$BM55+6,AR$87+4))</f>
        <v/>
      </c>
      <c r="AW61" s="6"/>
      <c r="AX61" s="4"/>
      <c r="AY61" s="2"/>
      <c r="AZ61" s="5"/>
      <c r="BA61" s="15">
        <f>IF(INDEX(結果!$C$6:$BL$85,$BM55+6,AY$87+2)="","",INDEX(結果!$C$6:$BL$85,$BM55+6,AY$87+2))</f>
        <v>0</v>
      </c>
      <c r="BB61" s="3" t="s">
        <v>199</v>
      </c>
      <c r="BC61" s="16">
        <f>IF(BA61="","",INDEX(結果!$C$6:$BL$85,$BM55+6,AY$87+4))</f>
        <v>0</v>
      </c>
      <c r="BD61" s="6"/>
      <c r="BE61" s="4"/>
      <c r="BF61" s="573"/>
      <c r="BG61" s="561"/>
      <c r="BH61" s="561"/>
      <c r="BI61" s="575"/>
      <c r="BJ61" s="570"/>
      <c r="BK61" s="47"/>
      <c r="BL61" s="599"/>
    </row>
    <row r="62" spans="1:65" ht="11.25" customHeight="1" x14ac:dyDescent="0.25">
      <c r="A62" s="530"/>
      <c r="B62" s="3"/>
      <c r="C62" s="7"/>
      <c r="D62" s="15" t="str">
        <f>IF(AO12="","",AO12)</f>
        <v/>
      </c>
      <c r="E62" s="3" t="s">
        <v>199</v>
      </c>
      <c r="F62" s="16" t="str">
        <f>IF(AM12="","",AM12)</f>
        <v/>
      </c>
      <c r="G62" s="8"/>
      <c r="H62" s="4"/>
      <c r="I62" s="2"/>
      <c r="J62" s="7"/>
      <c r="K62" s="15">
        <f>IF(AO22="","",AO22)</f>
        <v>0</v>
      </c>
      <c r="L62" s="3" t="s">
        <v>199</v>
      </c>
      <c r="M62" s="16">
        <f>IF(AM22="","",AM22)</f>
        <v>6</v>
      </c>
      <c r="N62" s="8"/>
      <c r="O62" s="4"/>
      <c r="P62" s="2"/>
      <c r="Q62" s="7"/>
      <c r="R62" s="15">
        <f>IF(AO32="","",AO32)</f>
        <v>0</v>
      </c>
      <c r="S62" s="3" t="s">
        <v>199</v>
      </c>
      <c r="T62" s="16">
        <f>IF(AM32="","",AM32)</f>
        <v>2</v>
      </c>
      <c r="U62" s="8"/>
      <c r="V62" s="4"/>
      <c r="W62" s="2"/>
      <c r="X62" s="7"/>
      <c r="Y62" s="15">
        <f>IF(AO42="","",AO42)</f>
        <v>0</v>
      </c>
      <c r="Z62" s="3" t="s">
        <v>199</v>
      </c>
      <c r="AA62" s="16">
        <f>IF(AM42="","",AM42)</f>
        <v>2</v>
      </c>
      <c r="AB62" s="8"/>
      <c r="AC62" s="4"/>
      <c r="AD62" s="2"/>
      <c r="AE62" s="7"/>
      <c r="AF62" s="15" t="str">
        <f>IF(AO52="","",AO52)</f>
        <v/>
      </c>
      <c r="AG62" s="3" t="s">
        <v>199</v>
      </c>
      <c r="AH62" s="16" t="str">
        <f>IF(AM52="","",AM52)</f>
        <v/>
      </c>
      <c r="AI62" s="8"/>
      <c r="AJ62" s="4"/>
      <c r="AK62" s="2"/>
      <c r="AL62" s="3"/>
      <c r="AM62" s="3"/>
      <c r="AN62" s="3"/>
      <c r="AO62" s="3"/>
      <c r="AP62" s="3"/>
      <c r="AQ62" s="4"/>
      <c r="AR62" s="2"/>
      <c r="AS62" s="7"/>
      <c r="AT62" s="15" t="str">
        <f>IF(AT61="","",INDEX(結果!$C$6:$BL$85,$BM55+7,AR$87+2))</f>
        <v/>
      </c>
      <c r="AU62" s="3" t="s">
        <v>199</v>
      </c>
      <c r="AV62" s="16" t="str">
        <f>IF(AT62="","",INDEX(結果!$C$6:$BL$85,$BM55+7,AR$87+4))</f>
        <v/>
      </c>
      <c r="AW62" s="8"/>
      <c r="AX62" s="4"/>
      <c r="AY62" s="2"/>
      <c r="AZ62" s="7"/>
      <c r="BA62" s="15">
        <f>IF(BA61="","",INDEX(結果!$C$6:$BL$85,$BM55+7,AY$87+2))</f>
        <v>1</v>
      </c>
      <c r="BB62" s="3" t="s">
        <v>199</v>
      </c>
      <c r="BC62" s="16">
        <f>IF(BA62="","",INDEX(結果!$C$6:$BL$85,$BM55+7,AY$87+4))</f>
        <v>1</v>
      </c>
      <c r="BD62" s="8"/>
      <c r="BE62" s="4"/>
      <c r="BF62" s="573"/>
      <c r="BG62" s="561"/>
      <c r="BH62" s="561"/>
      <c r="BI62" s="575"/>
      <c r="BJ62" s="570"/>
      <c r="BK62" s="47"/>
      <c r="BL62" s="599"/>
    </row>
    <row r="63" spans="1:65" ht="11.25" customHeight="1" x14ac:dyDescent="0.25">
      <c r="A63" s="530"/>
      <c r="B63" s="51"/>
      <c r="C63" s="532" t="str">
        <f>IF(B64="","",AL13)</f>
        <v>②</v>
      </c>
      <c r="D63" s="532"/>
      <c r="E63" s="540">
        <f>IF(B64="","",AN13)</f>
        <v>42659</v>
      </c>
      <c r="F63" s="540"/>
      <c r="G63" s="540"/>
      <c r="H63" s="541"/>
      <c r="I63" s="51"/>
      <c r="J63" s="532" t="str">
        <f>IF(I64="","",AL23)</f>
        <v>②</v>
      </c>
      <c r="K63" s="532"/>
      <c r="L63" s="540">
        <f>IF(I64="","",AN23)</f>
        <v>42644</v>
      </c>
      <c r="M63" s="540"/>
      <c r="N63" s="540"/>
      <c r="O63" s="541"/>
      <c r="P63" s="51"/>
      <c r="Q63" s="532" t="str">
        <f>IF(P64="","",AL33)</f>
        <v>②</v>
      </c>
      <c r="R63" s="532"/>
      <c r="S63" s="540">
        <f>IF(P64="","",AN33)</f>
        <v>42624</v>
      </c>
      <c r="T63" s="540"/>
      <c r="U63" s="540"/>
      <c r="V63" s="541"/>
      <c r="W63" s="51"/>
      <c r="X63" s="532" t="str">
        <f>IF(W64="","",AL43)</f>
        <v>⑨</v>
      </c>
      <c r="Y63" s="532"/>
      <c r="Z63" s="540">
        <f>IF(W64="","",AN43)</f>
        <v>42581</v>
      </c>
      <c r="AA63" s="540"/>
      <c r="AB63" s="540"/>
      <c r="AC63" s="541"/>
      <c r="AD63" s="51"/>
      <c r="AE63" s="532" t="str">
        <f>IF(AD64="","",AL53)</f>
        <v>②</v>
      </c>
      <c r="AF63" s="532"/>
      <c r="AG63" s="540">
        <f>IF(AD64="","",AN53)</f>
        <v>42677</v>
      </c>
      <c r="AH63" s="540"/>
      <c r="AI63" s="540"/>
      <c r="AJ63" s="541"/>
      <c r="AK63" s="2"/>
      <c r="AL63" s="3"/>
      <c r="AM63" s="3"/>
      <c r="AN63" s="3"/>
      <c r="AO63" s="3"/>
      <c r="AP63" s="3"/>
      <c r="AQ63" s="4"/>
      <c r="AR63" s="80"/>
      <c r="AS63" s="532" t="str">
        <f>IF(AR64="","",INDEX(結果!$C$6:$BL$85,$BM55+8,AR$87+1))</f>
        <v>②</v>
      </c>
      <c r="AT63" s="532"/>
      <c r="AU63" s="546">
        <f>IF(AR64="","",INDEX(結果!$C$6:$BL$85,$BM55+8,AR$87+3))</f>
        <v>42673</v>
      </c>
      <c r="AV63" s="546"/>
      <c r="AW63" s="546"/>
      <c r="AX63" s="547"/>
      <c r="AY63" s="80"/>
      <c r="AZ63" s="532" t="str">
        <f>IF(AY64="","",INDEX(結果!$C$6:$BL$85,$BM55+8,AY$87+1))</f>
        <v>⑨</v>
      </c>
      <c r="BA63" s="532"/>
      <c r="BB63" s="546">
        <f>IF(AY64="","",INDEX(結果!$C$6:$BL$85,$BM55+8,AY$87+3))</f>
        <v>42588</v>
      </c>
      <c r="BC63" s="546"/>
      <c r="BD63" s="546"/>
      <c r="BE63" s="547"/>
      <c r="BF63" s="573"/>
      <c r="BG63" s="561"/>
      <c r="BH63" s="561"/>
      <c r="BI63" s="575"/>
      <c r="BJ63" s="570"/>
      <c r="BK63" s="47"/>
      <c r="BL63" s="599"/>
    </row>
    <row r="64" spans="1:65" ht="11.25" customHeight="1" x14ac:dyDescent="0.25">
      <c r="A64" s="531"/>
      <c r="B64" s="543" t="str">
        <f>IF(AK14="","",AK14)</f>
        <v>かほく市S</v>
      </c>
      <c r="C64" s="534"/>
      <c r="D64" s="534"/>
      <c r="E64" s="534"/>
      <c r="F64" s="534"/>
      <c r="G64" s="534"/>
      <c r="H64" s="535"/>
      <c r="I64" s="543" t="str">
        <f>IF(AK24="","",AK24)</f>
        <v>金沢市民</v>
      </c>
      <c r="J64" s="534"/>
      <c r="K64" s="534"/>
      <c r="L64" s="534"/>
      <c r="M64" s="534"/>
      <c r="N64" s="534"/>
      <c r="O64" s="535"/>
      <c r="P64" s="543" t="str">
        <f>IF(AK34="","",AK34)</f>
        <v>加賀陸上</v>
      </c>
      <c r="Q64" s="534"/>
      <c r="R64" s="534"/>
      <c r="S64" s="534"/>
      <c r="T64" s="534"/>
      <c r="U64" s="534"/>
      <c r="V64" s="535"/>
      <c r="W64" s="543" t="str">
        <f>IF(AK44="","",AK44)</f>
        <v>小松市民</v>
      </c>
      <c r="X64" s="534"/>
      <c r="Y64" s="534"/>
      <c r="Z64" s="534"/>
      <c r="AA64" s="534"/>
      <c r="AB64" s="534"/>
      <c r="AC64" s="535"/>
      <c r="AD64" s="543" t="str">
        <f>IF(AK54="","",AK54)</f>
        <v>金沢市民</v>
      </c>
      <c r="AE64" s="534"/>
      <c r="AF64" s="534"/>
      <c r="AG64" s="534"/>
      <c r="AH64" s="534"/>
      <c r="AI64" s="534"/>
      <c r="AJ64" s="535"/>
      <c r="AK64" s="2"/>
      <c r="AL64" s="3"/>
      <c r="AM64" s="3"/>
      <c r="AN64" s="3"/>
      <c r="AO64" s="3"/>
      <c r="AP64" s="3"/>
      <c r="AQ64" s="4"/>
      <c r="AR64" s="543" t="str">
        <f>IF(INDEX(結果!$C$6:$BL$85,$BM55+9,AR$87)="","",INDEX(結果!$C$6:$BL$85,$BM55+9,AR$87))</f>
        <v>小松市民</v>
      </c>
      <c r="AS64" s="534"/>
      <c r="AT64" s="534"/>
      <c r="AU64" s="534"/>
      <c r="AV64" s="534"/>
      <c r="AW64" s="534"/>
      <c r="AX64" s="535"/>
      <c r="AY64" s="543" t="str">
        <f>IF(INDEX(結果!$C$6:$BL$85,$BM55+9,AY$87)="","",INDEX(結果!$C$6:$BL$85,$BM55+9,AY$87))</f>
        <v>金沢交流</v>
      </c>
      <c r="AZ64" s="534"/>
      <c r="BA64" s="534"/>
      <c r="BB64" s="534"/>
      <c r="BC64" s="534"/>
      <c r="BD64" s="534"/>
      <c r="BE64" s="535"/>
      <c r="BF64" s="589"/>
      <c r="BG64" s="562"/>
      <c r="BH64" s="562"/>
      <c r="BI64" s="584"/>
      <c r="BJ64" s="571"/>
      <c r="BK64" s="47"/>
      <c r="BL64" s="599"/>
    </row>
    <row r="65" spans="1:65" ht="11.25" customHeight="1" x14ac:dyDescent="0.25">
      <c r="A65" s="529" t="str">
        <f>INDEX(結果!$B$6:$BL$85,MATCH($BL65,結果!BP$6:BP$85,0),1)</f>
        <v>FC小松
1st</v>
      </c>
      <c r="B65" s="544">
        <f>IF(D67="","",D66+D67)</f>
        <v>0</v>
      </c>
      <c r="C65" s="537"/>
      <c r="D65" s="537"/>
      <c r="E65" s="9" t="str">
        <f>IF(D67="","",IF(B65=F65,"△",IF(B65&gt;F65,"○","●")))</f>
        <v>●</v>
      </c>
      <c r="F65" s="537">
        <f>IF(F67="","",F66+F67)</f>
        <v>1</v>
      </c>
      <c r="G65" s="537"/>
      <c r="H65" s="537"/>
      <c r="I65" s="544">
        <f>IF(K67="","",K66+K67)</f>
        <v>0</v>
      </c>
      <c r="J65" s="537"/>
      <c r="K65" s="537"/>
      <c r="L65" s="9" t="str">
        <f>IF(K67="","",IF(I65=M65,"△",IF(I65&gt;M65,"○","●")))</f>
        <v>●</v>
      </c>
      <c r="M65" s="537">
        <f>IF(M67="","",M66+M67)</f>
        <v>10</v>
      </c>
      <c r="N65" s="537"/>
      <c r="O65" s="542"/>
      <c r="P65" s="544">
        <f>IF(R67="","",R66+R67)</f>
        <v>1</v>
      </c>
      <c r="Q65" s="537"/>
      <c r="R65" s="537"/>
      <c r="S65" s="9" t="str">
        <f>IF(R67="","",IF(P65=T65,"△",IF(P65&gt;T65,"○","●")))</f>
        <v>●</v>
      </c>
      <c r="T65" s="537">
        <f>IF(T67="","",T66+T67)</f>
        <v>2</v>
      </c>
      <c r="U65" s="537"/>
      <c r="V65" s="542"/>
      <c r="W65" s="544">
        <f>IF(Y67="","",Y66+Y67)</f>
        <v>1</v>
      </c>
      <c r="X65" s="537"/>
      <c r="Y65" s="537"/>
      <c r="Z65" s="9" t="str">
        <f>IF(Y67="","",IF(W65=AA65,"△",IF(W65&gt;AA65,"○","●")))</f>
        <v>●</v>
      </c>
      <c r="AA65" s="537">
        <f>IF(AA67="","",AA66+AA67)</f>
        <v>2</v>
      </c>
      <c r="AB65" s="537"/>
      <c r="AC65" s="542"/>
      <c r="AD65" s="544">
        <f>IF(AF67="","",AF66+AF67)</f>
        <v>0</v>
      </c>
      <c r="AE65" s="537"/>
      <c r="AF65" s="537"/>
      <c r="AG65" s="9" t="str">
        <f>IF(AF67="","",IF(AD65=AH65,"△",IF(AD65&gt;AH65,"○","●")))</f>
        <v>●</v>
      </c>
      <c r="AH65" s="537">
        <f>IF(AH67="","",AH66+AH67)</f>
        <v>1</v>
      </c>
      <c r="AI65" s="537"/>
      <c r="AJ65" s="542"/>
      <c r="AK65" s="544">
        <f>IF(AM67="","",AM66+AM67)</f>
        <v>0</v>
      </c>
      <c r="AL65" s="537"/>
      <c r="AM65" s="537"/>
      <c r="AN65" s="9" t="str">
        <f>IF(AM67="","",IF(AK65=AO65,"△",IF(AK65&gt;AO65,"○","●")))</f>
        <v>●</v>
      </c>
      <c r="AO65" s="537">
        <f>IF(AO67="","",AO66+AO67)</f>
        <v>1</v>
      </c>
      <c r="AP65" s="537"/>
      <c r="AQ65" s="542"/>
      <c r="AR65" s="5"/>
      <c r="AS65" s="85"/>
      <c r="AT65" s="85"/>
      <c r="AU65" s="85"/>
      <c r="AV65" s="85"/>
      <c r="AW65" s="85"/>
      <c r="AX65" s="6"/>
      <c r="AY65" s="544">
        <f>IF(BA67="","",BA66+BA67)</f>
        <v>6</v>
      </c>
      <c r="AZ65" s="537"/>
      <c r="BA65" s="537"/>
      <c r="BB65" s="9" t="str">
        <f>IF(BA67="","",IF(AY65=BC65,"△",IF(AY65&gt;BC65,"○","●")))</f>
        <v>○</v>
      </c>
      <c r="BC65" s="537">
        <f>IF(BC67="","",BC66+BC67)</f>
        <v>0</v>
      </c>
      <c r="BD65" s="537"/>
      <c r="BE65" s="566"/>
      <c r="BF65" s="588">
        <f>IF(COUNT(B66:BE66)=0,"",COUNTIF(AU$5:AU$84,"●")*3+COUNTIF(AU$5:AU$84,"△"))</f>
        <v>3</v>
      </c>
      <c r="BG65" s="560">
        <f>IF(BF65="","",SUM(AV$5:AV$84)/2)</f>
        <v>10</v>
      </c>
      <c r="BH65" s="560">
        <f>IF(BF65="","",SUM(AR$5:AR$84))</f>
        <v>31</v>
      </c>
      <c r="BI65" s="583">
        <f>IF(BF65="","",BG65-BH65)</f>
        <v>-21</v>
      </c>
      <c r="BJ65" s="569">
        <f>IF(BF65="","",RANK(BK65,BK$5:BK$84))</f>
        <v>7</v>
      </c>
      <c r="BK65" s="47">
        <f>IF(BF65="",-ROW()*10000,BF65*10000+BI65*100+BG65+COUNTIF(B65:BE65,"&gt;=0")/20)</f>
        <v>27910.7</v>
      </c>
      <c r="BL65" s="599">
        <v>7</v>
      </c>
      <c r="BM65" s="1">
        <f>INDEX(結果!BM$6:BN$85,MATCH(BL65,結果!BP$6:BP$85,0),2)</f>
        <v>41</v>
      </c>
    </row>
    <row r="66" spans="1:65" ht="10.5" customHeight="1" x14ac:dyDescent="0.25">
      <c r="A66" s="530"/>
      <c r="B66" s="3"/>
      <c r="C66" s="5"/>
      <c r="D66" s="15">
        <f>IF(AV6="","",AV6)</f>
        <v>0</v>
      </c>
      <c r="E66" s="3" t="s">
        <v>199</v>
      </c>
      <c r="F66" s="16">
        <f>IF(AT6="","",AT6)</f>
        <v>0</v>
      </c>
      <c r="G66" s="6"/>
      <c r="H66" s="3"/>
      <c r="I66" s="2"/>
      <c r="J66" s="5"/>
      <c r="K66" s="15">
        <f>IF(AV16="","",AV16)</f>
        <v>0</v>
      </c>
      <c r="L66" s="3" t="s">
        <v>199</v>
      </c>
      <c r="M66" s="16">
        <f>IF(AT16="","",AT16)</f>
        <v>5</v>
      </c>
      <c r="N66" s="6"/>
      <c r="O66" s="4"/>
      <c r="P66" s="2"/>
      <c r="Q66" s="5"/>
      <c r="R66" s="15">
        <f>IF(AV26="","",AV26)</f>
        <v>0</v>
      </c>
      <c r="S66" s="3" t="s">
        <v>199</v>
      </c>
      <c r="T66" s="16">
        <f>IF(AT26="","",AT26)</f>
        <v>0</v>
      </c>
      <c r="U66" s="6"/>
      <c r="V66" s="4"/>
      <c r="W66" s="2"/>
      <c r="X66" s="5"/>
      <c r="Y66" s="15">
        <f>IF(AV36="","",AV36)</f>
        <v>0</v>
      </c>
      <c r="Z66" s="3" t="s">
        <v>199</v>
      </c>
      <c r="AA66" s="16">
        <f>IF(AT36="","",AT36)</f>
        <v>0</v>
      </c>
      <c r="AB66" s="6"/>
      <c r="AC66" s="4"/>
      <c r="AD66" s="2"/>
      <c r="AE66" s="5"/>
      <c r="AF66" s="15">
        <f>IF(AV46="","",AV46)</f>
        <v>0</v>
      </c>
      <c r="AG66" s="3" t="s">
        <v>199</v>
      </c>
      <c r="AH66" s="16">
        <f>IF(AT46="","",AT46)</f>
        <v>0</v>
      </c>
      <c r="AI66" s="6"/>
      <c r="AJ66" s="4"/>
      <c r="AK66" s="2"/>
      <c r="AL66" s="5"/>
      <c r="AM66" s="15">
        <f>IF(AV56="","",AV56)</f>
        <v>0</v>
      </c>
      <c r="AN66" s="3" t="s">
        <v>199</v>
      </c>
      <c r="AO66" s="16">
        <f>IF(AT56="","",AT56)</f>
        <v>0</v>
      </c>
      <c r="AP66" s="6"/>
      <c r="AQ66" s="4"/>
      <c r="AR66" s="2"/>
      <c r="AS66" s="3"/>
      <c r="AT66" s="3"/>
      <c r="AU66" s="3"/>
      <c r="AV66" s="3"/>
      <c r="AW66" s="3"/>
      <c r="AX66" s="4"/>
      <c r="AY66" s="2"/>
      <c r="AZ66" s="5"/>
      <c r="BA66" s="15">
        <f>IF(INDEX(結果!$C$6:$BL$85,$BM65+1,AY$87+2)="","",INDEX(結果!$C$6:$BL$85,$BM65+1,AY$87+2))</f>
        <v>2</v>
      </c>
      <c r="BB66" s="3" t="s">
        <v>199</v>
      </c>
      <c r="BC66" s="16">
        <f>IF(BA66="","",INDEX(結果!$C$6:$BL$85,$BM65+1,AY$87+4))</f>
        <v>0</v>
      </c>
      <c r="BD66" s="6"/>
      <c r="BE66" s="4"/>
      <c r="BF66" s="573"/>
      <c r="BG66" s="561"/>
      <c r="BH66" s="561"/>
      <c r="BI66" s="575"/>
      <c r="BJ66" s="570"/>
      <c r="BK66" s="47"/>
      <c r="BL66" s="599"/>
    </row>
    <row r="67" spans="1:65" ht="10.5" customHeight="1" x14ac:dyDescent="0.25">
      <c r="A67" s="530"/>
      <c r="B67" s="3"/>
      <c r="C67" s="7"/>
      <c r="D67" s="15">
        <f>IF(AV7="","",AV7)</f>
        <v>0</v>
      </c>
      <c r="E67" s="3" t="s">
        <v>199</v>
      </c>
      <c r="F67" s="16">
        <f>IF(AT7="","",AT7)</f>
        <v>1</v>
      </c>
      <c r="G67" s="8"/>
      <c r="H67" s="3"/>
      <c r="I67" s="2"/>
      <c r="J67" s="7"/>
      <c r="K67" s="15">
        <f>IF(AV17="","",AV17)</f>
        <v>0</v>
      </c>
      <c r="L67" s="3" t="s">
        <v>199</v>
      </c>
      <c r="M67" s="16">
        <f>IF(AT17="","",AT17)</f>
        <v>5</v>
      </c>
      <c r="N67" s="8"/>
      <c r="O67" s="4"/>
      <c r="P67" s="2"/>
      <c r="Q67" s="7"/>
      <c r="R67" s="15">
        <f>IF(AV27="","",AV27)</f>
        <v>1</v>
      </c>
      <c r="S67" s="3" t="s">
        <v>199</v>
      </c>
      <c r="T67" s="16">
        <f>IF(AT27="","",AT27)</f>
        <v>2</v>
      </c>
      <c r="U67" s="8"/>
      <c r="V67" s="4"/>
      <c r="W67" s="2"/>
      <c r="X67" s="7"/>
      <c r="Y67" s="15">
        <f>IF(AV37="","",AV37)</f>
        <v>1</v>
      </c>
      <c r="Z67" s="3" t="s">
        <v>199</v>
      </c>
      <c r="AA67" s="16">
        <f>IF(AT37="","",AT37)</f>
        <v>2</v>
      </c>
      <c r="AB67" s="8"/>
      <c r="AC67" s="4"/>
      <c r="AD67" s="2"/>
      <c r="AE67" s="7"/>
      <c r="AF67" s="15">
        <f>IF(AV47="","",AV47)</f>
        <v>0</v>
      </c>
      <c r="AG67" s="3" t="s">
        <v>199</v>
      </c>
      <c r="AH67" s="16">
        <f>IF(AT47="","",AT47)</f>
        <v>1</v>
      </c>
      <c r="AI67" s="8"/>
      <c r="AJ67" s="4"/>
      <c r="AK67" s="2"/>
      <c r="AL67" s="7"/>
      <c r="AM67" s="15">
        <f>IF(AV57="","",AV57)</f>
        <v>0</v>
      </c>
      <c r="AN67" s="3" t="s">
        <v>199</v>
      </c>
      <c r="AO67" s="16">
        <f>IF(AT57="","",AT57)</f>
        <v>1</v>
      </c>
      <c r="AP67" s="8"/>
      <c r="AQ67" s="4"/>
      <c r="AR67" s="2"/>
      <c r="AS67" s="3"/>
      <c r="AT67" s="3"/>
      <c r="AU67" s="3"/>
      <c r="AV67" s="3"/>
      <c r="AW67" s="3"/>
      <c r="AX67" s="4"/>
      <c r="AY67" s="2"/>
      <c r="AZ67" s="7"/>
      <c r="BA67" s="15">
        <f>IF(BA66="","",INDEX(結果!$C$6:$BL$85,$BM65+2,AY$87+2))</f>
        <v>4</v>
      </c>
      <c r="BB67" s="3" t="s">
        <v>199</v>
      </c>
      <c r="BC67" s="16">
        <f>IF(BA67="","",INDEX(結果!$C$6:$BL$85,$BM65+2,AY$87+4))</f>
        <v>0</v>
      </c>
      <c r="BD67" s="8"/>
      <c r="BE67" s="4"/>
      <c r="BF67" s="573"/>
      <c r="BG67" s="561"/>
      <c r="BH67" s="561"/>
      <c r="BI67" s="575"/>
      <c r="BJ67" s="570"/>
      <c r="BK67" s="47"/>
      <c r="BL67" s="599"/>
    </row>
    <row r="68" spans="1:65" ht="11.25" customHeight="1" x14ac:dyDescent="0.25">
      <c r="A68" s="530"/>
      <c r="B68" s="51"/>
      <c r="C68" s="532" t="str">
        <f>IF(B69="","",AS8)</f>
        <v>①</v>
      </c>
      <c r="D68" s="532"/>
      <c r="E68" s="540">
        <f>IF(B69="","",AU8)</f>
        <v>42489</v>
      </c>
      <c r="F68" s="540"/>
      <c r="G68" s="540"/>
      <c r="H68" s="540"/>
      <c r="I68" s="51"/>
      <c r="J68" s="532" t="str">
        <f>IF(I69="","",AS18)</f>
        <v>②</v>
      </c>
      <c r="K68" s="532"/>
      <c r="L68" s="540">
        <f>IF(I69="","",AU18)</f>
        <v>42493</v>
      </c>
      <c r="M68" s="540"/>
      <c r="N68" s="540"/>
      <c r="O68" s="541"/>
      <c r="P68" s="51"/>
      <c r="Q68" s="532" t="str">
        <f>IF(P69="","",AS28)</f>
        <v>③</v>
      </c>
      <c r="R68" s="532"/>
      <c r="S68" s="540">
        <f>IF(P69="","",AU28)</f>
        <v>42498</v>
      </c>
      <c r="T68" s="540"/>
      <c r="U68" s="540"/>
      <c r="V68" s="541"/>
      <c r="W68" s="51"/>
      <c r="X68" s="532" t="str">
        <f>IF(W69="","",AS38)</f>
        <v>⑥</v>
      </c>
      <c r="Y68" s="532"/>
      <c r="Z68" s="540">
        <f>IF(W69="","",AU38)</f>
        <v>42518</v>
      </c>
      <c r="AA68" s="540"/>
      <c r="AB68" s="540"/>
      <c r="AC68" s="541"/>
      <c r="AD68" s="51"/>
      <c r="AE68" s="532" t="str">
        <f>IF(AD69="","",AS48)</f>
        <v>⑤</v>
      </c>
      <c r="AF68" s="532"/>
      <c r="AG68" s="540">
        <f>IF(AD69="","",AU48)</f>
        <v>42512</v>
      </c>
      <c r="AH68" s="540"/>
      <c r="AI68" s="540"/>
      <c r="AJ68" s="541"/>
      <c r="AK68" s="51"/>
      <c r="AL68" s="532" t="str">
        <f>IF(AK69="","",AS58)</f>
        <v>⑦</v>
      </c>
      <c r="AM68" s="532"/>
      <c r="AN68" s="540">
        <f>IF(AK69="","",AU58)</f>
        <v>42546</v>
      </c>
      <c r="AO68" s="540"/>
      <c r="AP68" s="540"/>
      <c r="AQ68" s="541"/>
      <c r="AR68" s="2"/>
      <c r="AS68" s="3"/>
      <c r="AT68" s="3"/>
      <c r="AU68" s="3"/>
      <c r="AV68" s="3"/>
      <c r="AW68" s="3"/>
      <c r="AX68" s="4"/>
      <c r="AY68" s="80"/>
      <c r="AZ68" s="532" t="str">
        <f>IF(AY69="","",INDEX(結果!$C$6:$BL$85,$BM65+3,AY$87+1))</f>
        <v>⑦</v>
      </c>
      <c r="BA68" s="532"/>
      <c r="BB68" s="546">
        <f>IF(AY69="","",INDEX(結果!$C$6:$BL$85,$BM65+3,AY$87+3))</f>
        <v>42553</v>
      </c>
      <c r="BC68" s="546"/>
      <c r="BD68" s="546"/>
      <c r="BE68" s="547"/>
      <c r="BF68" s="573"/>
      <c r="BG68" s="561"/>
      <c r="BH68" s="561"/>
      <c r="BI68" s="575"/>
      <c r="BJ68" s="570"/>
      <c r="BK68" s="47"/>
      <c r="BL68" s="599"/>
    </row>
    <row r="69" spans="1:65" ht="11.25" customHeight="1" x14ac:dyDescent="0.25">
      <c r="A69" s="530"/>
      <c r="B69" s="533" t="str">
        <f>IF(AR9="","",AR9)</f>
        <v>星稜ｻｯｶｰ場</v>
      </c>
      <c r="C69" s="534"/>
      <c r="D69" s="534"/>
      <c r="E69" s="534"/>
      <c r="F69" s="534"/>
      <c r="G69" s="534"/>
      <c r="H69" s="534"/>
      <c r="I69" s="543" t="str">
        <f>IF(AR19="","",AR19)</f>
        <v>金沢交流</v>
      </c>
      <c r="J69" s="534"/>
      <c r="K69" s="534"/>
      <c r="L69" s="534"/>
      <c r="M69" s="534"/>
      <c r="N69" s="534"/>
      <c r="O69" s="535"/>
      <c r="P69" s="543" t="str">
        <f>IF(AR29="","",AR29)</f>
        <v>金沢交流</v>
      </c>
      <c r="Q69" s="534"/>
      <c r="R69" s="534"/>
      <c r="S69" s="534"/>
      <c r="T69" s="534"/>
      <c r="U69" s="534"/>
      <c r="V69" s="535"/>
      <c r="W69" s="543" t="str">
        <f>IF(AR39="","",AR39)</f>
        <v>金沢市民</v>
      </c>
      <c r="X69" s="534"/>
      <c r="Y69" s="534"/>
      <c r="Z69" s="534"/>
      <c r="AA69" s="534"/>
      <c r="AB69" s="534"/>
      <c r="AC69" s="535"/>
      <c r="AD69" s="543" t="str">
        <f>IF(AR49="","",AR49)</f>
        <v>加賀陸上</v>
      </c>
      <c r="AE69" s="534"/>
      <c r="AF69" s="534"/>
      <c r="AG69" s="534"/>
      <c r="AH69" s="534"/>
      <c r="AI69" s="534"/>
      <c r="AJ69" s="535"/>
      <c r="AK69" s="543" t="str">
        <f>IF(AR59="","",AR59)</f>
        <v>加賀陸上</v>
      </c>
      <c r="AL69" s="534"/>
      <c r="AM69" s="534"/>
      <c r="AN69" s="534"/>
      <c r="AO69" s="534"/>
      <c r="AP69" s="534"/>
      <c r="AQ69" s="535"/>
      <c r="AR69" s="2"/>
      <c r="AS69" s="3"/>
      <c r="AT69" s="3"/>
      <c r="AU69" s="3"/>
      <c r="AV69" s="3"/>
      <c r="AW69" s="3"/>
      <c r="AX69" s="4"/>
      <c r="AY69" s="548" t="str">
        <f>IF(INDEX(結果!$C$6:$BL$85,$BM65+4,AY$87)="","",INDEX(結果!$C$6:$BL$85,$BM65+4,AY$87))</f>
        <v>金沢市民</v>
      </c>
      <c r="AZ69" s="532"/>
      <c r="BA69" s="532"/>
      <c r="BB69" s="532"/>
      <c r="BC69" s="532"/>
      <c r="BD69" s="532"/>
      <c r="BE69" s="539"/>
      <c r="BF69" s="573"/>
      <c r="BG69" s="561"/>
      <c r="BH69" s="561"/>
      <c r="BI69" s="575"/>
      <c r="BJ69" s="570"/>
      <c r="BK69" s="47"/>
      <c r="BL69" s="599"/>
    </row>
    <row r="70" spans="1:65" ht="11.25" customHeight="1" x14ac:dyDescent="0.25">
      <c r="A70" s="530"/>
      <c r="B70" s="544">
        <f>IF(D72="","",D71+D72)</f>
        <v>0</v>
      </c>
      <c r="C70" s="537"/>
      <c r="D70" s="537"/>
      <c r="E70" s="9" t="str">
        <f>IF(D72="","",IF(B70=F70,"△",IF(B70&gt;F70,"○","●")))</f>
        <v>●</v>
      </c>
      <c r="F70" s="537">
        <f>IF(F72="","",F71+F72)</f>
        <v>4</v>
      </c>
      <c r="G70" s="537"/>
      <c r="H70" s="537"/>
      <c r="I70" s="544">
        <f>IF(K72="","",K71+K72)</f>
        <v>0</v>
      </c>
      <c r="J70" s="537"/>
      <c r="K70" s="537"/>
      <c r="L70" s="9" t="str">
        <f>IF(K72="","",IF(I70=M70,"△",IF(I70&gt;M70,"○","●")))</f>
        <v>●</v>
      </c>
      <c r="M70" s="537">
        <f>IF(M72="","",M71+M72)</f>
        <v>3</v>
      </c>
      <c r="N70" s="537"/>
      <c r="O70" s="542"/>
      <c r="P70" s="544">
        <f>IF(R72="","",R71+R72)</f>
        <v>1</v>
      </c>
      <c r="Q70" s="537"/>
      <c r="R70" s="537"/>
      <c r="S70" s="9" t="str">
        <f>IF(R72="","",IF(P70=T70,"△",IF(P70&gt;T70,"○","●")))</f>
        <v>●</v>
      </c>
      <c r="T70" s="537">
        <f>IF(T72="","",T71+T72)</f>
        <v>3</v>
      </c>
      <c r="U70" s="537"/>
      <c r="V70" s="542"/>
      <c r="W70" s="544" t="str">
        <f>IF(Y72="","",Y71+Y72)</f>
        <v/>
      </c>
      <c r="X70" s="537"/>
      <c r="Y70" s="537"/>
      <c r="Z70" s="9" t="str">
        <f>IF(Y72="","",IF(W70=AA70,"△",IF(W70&gt;AA70,"○","●")))</f>
        <v/>
      </c>
      <c r="AA70" s="537" t="str">
        <f>IF(AA72="","",AA71+AA72)</f>
        <v/>
      </c>
      <c r="AB70" s="537"/>
      <c r="AC70" s="542"/>
      <c r="AD70" s="544">
        <f>IF(AF72="","",AF71+AF72)</f>
        <v>1</v>
      </c>
      <c r="AE70" s="537"/>
      <c r="AF70" s="537"/>
      <c r="AG70" s="9" t="str">
        <f>IF(AF72="","",IF(AD70=AH70,"△",IF(AD70&gt;AH70,"○","●")))</f>
        <v>●</v>
      </c>
      <c r="AH70" s="537">
        <f>IF(AH72="","",AH71+AH72)</f>
        <v>4</v>
      </c>
      <c r="AI70" s="537"/>
      <c r="AJ70" s="542"/>
      <c r="AK70" s="544" t="str">
        <f>IF(AM72="","",AM71+AM72)</f>
        <v/>
      </c>
      <c r="AL70" s="537"/>
      <c r="AM70" s="537"/>
      <c r="AN70" s="9" t="str">
        <f>IF(AM72="","",IF(AK70=AO70,"△",IF(AK70&gt;AO70,"○","●")))</f>
        <v/>
      </c>
      <c r="AO70" s="537" t="str">
        <f>IF(AO72="","",AO71+AO72)</f>
        <v/>
      </c>
      <c r="AP70" s="537"/>
      <c r="AQ70" s="542"/>
      <c r="AR70" s="2"/>
      <c r="AS70" s="3"/>
      <c r="AT70" s="3"/>
      <c r="AU70" s="3"/>
      <c r="AV70" s="3"/>
      <c r="AW70" s="3"/>
      <c r="AX70" s="4"/>
      <c r="AY70" s="544" t="str">
        <f>IF(BA72="","",BA71+BA72)</f>
        <v/>
      </c>
      <c r="AZ70" s="537"/>
      <c r="BA70" s="537"/>
      <c r="BB70" s="9" t="str">
        <f>IF(BA72="","",IF(AY70=BC70,"△",IF(AY70&gt;BC70,"○","●")))</f>
        <v/>
      </c>
      <c r="BC70" s="537" t="str">
        <f>IF(BC72="","",BC71+BC72)</f>
        <v/>
      </c>
      <c r="BD70" s="537"/>
      <c r="BE70" s="542"/>
      <c r="BF70" s="573"/>
      <c r="BG70" s="561"/>
      <c r="BH70" s="561"/>
      <c r="BI70" s="575"/>
      <c r="BJ70" s="570"/>
      <c r="BK70" s="47"/>
      <c r="BL70" s="599"/>
    </row>
    <row r="71" spans="1:65" ht="11.25" customHeight="1" x14ac:dyDescent="0.25">
      <c r="A71" s="530"/>
      <c r="B71" s="3"/>
      <c r="C71" s="5"/>
      <c r="D71" s="15">
        <f>IF(AV11="","",AV11)</f>
        <v>0</v>
      </c>
      <c r="E71" s="3" t="s">
        <v>199</v>
      </c>
      <c r="F71" s="16">
        <f>IF(AT11="","",AT11)</f>
        <v>1</v>
      </c>
      <c r="G71" s="6"/>
      <c r="H71" s="3"/>
      <c r="I71" s="2"/>
      <c r="J71" s="5"/>
      <c r="K71" s="15">
        <f>IF(AV21="","",AV21)</f>
        <v>1</v>
      </c>
      <c r="L71" s="3" t="s">
        <v>199</v>
      </c>
      <c r="M71" s="16">
        <f>IF(AT21="","",AT21)</f>
        <v>2</v>
      </c>
      <c r="N71" s="6"/>
      <c r="O71" s="4"/>
      <c r="P71" s="2"/>
      <c r="Q71" s="5"/>
      <c r="R71" s="15">
        <f>IF(AV31="","",AV31)</f>
        <v>0</v>
      </c>
      <c r="S71" s="3" t="s">
        <v>199</v>
      </c>
      <c r="T71" s="16">
        <f>IF(AT31="","",AT31)</f>
        <v>2</v>
      </c>
      <c r="U71" s="6"/>
      <c r="V71" s="4"/>
      <c r="W71" s="2"/>
      <c r="X71" s="5"/>
      <c r="Y71" s="15" t="str">
        <f>IF(AV41="","",AV41)</f>
        <v/>
      </c>
      <c r="Z71" s="3" t="s">
        <v>199</v>
      </c>
      <c r="AA71" s="16" t="str">
        <f>IF(AT41="","",AT41)</f>
        <v/>
      </c>
      <c r="AB71" s="6"/>
      <c r="AC71" s="4"/>
      <c r="AD71" s="2"/>
      <c r="AE71" s="5"/>
      <c r="AF71" s="15">
        <f>IF(AV51="","",AV51)</f>
        <v>1</v>
      </c>
      <c r="AG71" s="3" t="s">
        <v>199</v>
      </c>
      <c r="AH71" s="16">
        <f>IF(AT51="","",AT51)</f>
        <v>2</v>
      </c>
      <c r="AI71" s="6"/>
      <c r="AJ71" s="4"/>
      <c r="AK71" s="2"/>
      <c r="AL71" s="5"/>
      <c r="AM71" s="15" t="str">
        <f>IF(AV61="","",AV61)</f>
        <v/>
      </c>
      <c r="AN71" s="3" t="s">
        <v>199</v>
      </c>
      <c r="AO71" s="16" t="str">
        <f>IF(AT61="","",AT61)</f>
        <v/>
      </c>
      <c r="AP71" s="6"/>
      <c r="AQ71" s="4"/>
      <c r="AR71" s="2"/>
      <c r="AS71" s="3"/>
      <c r="AT71" s="3"/>
      <c r="AU71" s="3"/>
      <c r="AV71" s="3"/>
      <c r="AW71" s="3"/>
      <c r="AX71" s="4"/>
      <c r="AY71" s="2"/>
      <c r="AZ71" s="5"/>
      <c r="BA71" s="15" t="str">
        <f>IF(INDEX(結果!$C$6:$BL$85,$BM65+6,AY$87+2)="","",INDEX(結果!$C$6:$BL$85,$BM65+6,AY$87+2))</f>
        <v/>
      </c>
      <c r="BB71" s="3" t="s">
        <v>199</v>
      </c>
      <c r="BC71" s="16" t="str">
        <f>IF(BA71="","",INDEX(結果!$C$6:$BL$85,$BM65+6,AY$87+4))</f>
        <v/>
      </c>
      <c r="BD71" s="6"/>
      <c r="BE71" s="4"/>
      <c r="BF71" s="573"/>
      <c r="BG71" s="561"/>
      <c r="BH71" s="561"/>
      <c r="BI71" s="575"/>
      <c r="BJ71" s="570"/>
      <c r="BK71" s="47"/>
      <c r="BL71" s="599"/>
    </row>
    <row r="72" spans="1:65" ht="11.25" customHeight="1" x14ac:dyDescent="0.25">
      <c r="A72" s="530"/>
      <c r="B72" s="3"/>
      <c r="C72" s="7"/>
      <c r="D72" s="15">
        <f>IF(AV12="","",AV12)</f>
        <v>0</v>
      </c>
      <c r="E72" s="3" t="s">
        <v>199</v>
      </c>
      <c r="F72" s="16">
        <f>IF(AT12="","",AT12)</f>
        <v>3</v>
      </c>
      <c r="G72" s="8"/>
      <c r="H72" s="3"/>
      <c r="I72" s="2"/>
      <c r="J72" s="7"/>
      <c r="K72" s="15">
        <f>IF(AV22="","",AV22)</f>
        <v>-1</v>
      </c>
      <c r="L72" s="3" t="s">
        <v>199</v>
      </c>
      <c r="M72" s="16">
        <f>IF(AT22="","",AT22)</f>
        <v>1</v>
      </c>
      <c r="N72" s="8"/>
      <c r="O72" s="4"/>
      <c r="P72" s="2"/>
      <c r="Q72" s="7"/>
      <c r="R72" s="15">
        <f>IF(AV32="","",AV32)</f>
        <v>1</v>
      </c>
      <c r="S72" s="3" t="s">
        <v>199</v>
      </c>
      <c r="T72" s="16">
        <f>IF(AT32="","",AT32)</f>
        <v>1</v>
      </c>
      <c r="U72" s="8"/>
      <c r="V72" s="4"/>
      <c r="W72" s="2"/>
      <c r="X72" s="7"/>
      <c r="Y72" s="15" t="str">
        <f>IF(AV42="","",AV42)</f>
        <v/>
      </c>
      <c r="Z72" s="3" t="s">
        <v>199</v>
      </c>
      <c r="AA72" s="16" t="str">
        <f>IF(AT42="","",AT42)</f>
        <v/>
      </c>
      <c r="AB72" s="8"/>
      <c r="AC72" s="4"/>
      <c r="AD72" s="2"/>
      <c r="AE72" s="7"/>
      <c r="AF72" s="15">
        <f>IF(AV52="","",AV52)</f>
        <v>0</v>
      </c>
      <c r="AG72" s="3" t="s">
        <v>199</v>
      </c>
      <c r="AH72" s="16">
        <f>IF(AT52="","",AT52)</f>
        <v>2</v>
      </c>
      <c r="AI72" s="8"/>
      <c r="AJ72" s="4"/>
      <c r="AK72" s="2"/>
      <c r="AL72" s="7"/>
      <c r="AM72" s="15" t="str">
        <f>IF(AV62="","",AV62)</f>
        <v/>
      </c>
      <c r="AN72" s="3" t="s">
        <v>199</v>
      </c>
      <c r="AO72" s="16" t="str">
        <f>IF(AT62="","",AT62)</f>
        <v/>
      </c>
      <c r="AP72" s="8"/>
      <c r="AQ72" s="4"/>
      <c r="AR72" s="2"/>
      <c r="AS72" s="3"/>
      <c r="AT72" s="3"/>
      <c r="AU72" s="3"/>
      <c r="AV72" s="3"/>
      <c r="AW72" s="3"/>
      <c r="AX72" s="4"/>
      <c r="AY72" s="2"/>
      <c r="AZ72" s="7"/>
      <c r="BA72" s="15" t="str">
        <f>IF(BA71="","",INDEX(結果!$C$6:$BL$85,$BM65+7,AY$87+2))</f>
        <v/>
      </c>
      <c r="BB72" s="3" t="s">
        <v>199</v>
      </c>
      <c r="BC72" s="16" t="str">
        <f>IF(BA72="","",INDEX(結果!$C$6:$BL$85,$BM65+7,AY$87+4))</f>
        <v/>
      </c>
      <c r="BD72" s="8"/>
      <c r="BE72" s="4"/>
      <c r="BF72" s="573"/>
      <c r="BG72" s="561"/>
      <c r="BH72" s="561"/>
      <c r="BI72" s="575"/>
      <c r="BJ72" s="570"/>
      <c r="BK72" s="47"/>
      <c r="BL72" s="599"/>
    </row>
    <row r="73" spans="1:65" ht="11.25" customHeight="1" x14ac:dyDescent="0.25">
      <c r="A73" s="530"/>
      <c r="B73" s="51"/>
      <c r="C73" s="532" t="str">
        <f>IF(B74="","",AS13)</f>
        <v>⑨</v>
      </c>
      <c r="D73" s="532"/>
      <c r="E73" s="540">
        <f>IF(B74="","",AU13)</f>
        <v>42588</v>
      </c>
      <c r="F73" s="540"/>
      <c r="G73" s="540"/>
      <c r="H73" s="540"/>
      <c r="I73" s="51"/>
      <c r="J73" s="532" t="str">
        <f>IF(I74="","",AS23)</f>
        <v>⑨</v>
      </c>
      <c r="K73" s="532"/>
      <c r="L73" s="540">
        <f>IF(I74="","",AU23)</f>
        <v>42581</v>
      </c>
      <c r="M73" s="540"/>
      <c r="N73" s="540"/>
      <c r="O73" s="541"/>
      <c r="P73" s="51"/>
      <c r="Q73" s="532" t="str">
        <f>IF(P74="","",AS33)</f>
        <v>②</v>
      </c>
      <c r="R73" s="532"/>
      <c r="S73" s="540">
        <f>IF(P74="","",AU33)</f>
        <v>42645</v>
      </c>
      <c r="T73" s="540"/>
      <c r="U73" s="540"/>
      <c r="V73" s="541"/>
      <c r="W73" s="51"/>
      <c r="X73" s="532" t="str">
        <f>IF(W74="","",AS43)</f>
        <v>②</v>
      </c>
      <c r="Y73" s="532"/>
      <c r="Z73" s="540">
        <f>IF(W74="","",AU43)</f>
        <v>42658</v>
      </c>
      <c r="AA73" s="540"/>
      <c r="AB73" s="540"/>
      <c r="AC73" s="541"/>
      <c r="AD73" s="51"/>
      <c r="AE73" s="532" t="str">
        <f>IF(AD74="","",AS53)</f>
        <v>②</v>
      </c>
      <c r="AF73" s="532"/>
      <c r="AG73" s="540">
        <f>IF(AD74="","",AU53)</f>
        <v>42617</v>
      </c>
      <c r="AH73" s="540"/>
      <c r="AI73" s="540"/>
      <c r="AJ73" s="541"/>
      <c r="AK73" s="51"/>
      <c r="AL73" s="532" t="str">
        <f>IF(AK74="","",AS63)</f>
        <v>②</v>
      </c>
      <c r="AM73" s="532"/>
      <c r="AN73" s="540">
        <f>IF(AK74="","",AU63)</f>
        <v>42673</v>
      </c>
      <c r="AO73" s="540"/>
      <c r="AP73" s="540"/>
      <c r="AQ73" s="541"/>
      <c r="AR73" s="2"/>
      <c r="AS73" s="3"/>
      <c r="AT73" s="3"/>
      <c r="AU73" s="3"/>
      <c r="AV73" s="3"/>
      <c r="AW73" s="3"/>
      <c r="AX73" s="4"/>
      <c r="AY73" s="80"/>
      <c r="AZ73" s="532" t="str">
        <f>IF(AY74="","",INDEX(結果!$C$6:$BL$85,$BM65+8,AY$87+1))</f>
        <v>②</v>
      </c>
      <c r="BA73" s="532"/>
      <c r="BB73" s="546">
        <f>IF(AY74="","",INDEX(結果!$C$6:$BL$85,$BM65+8,AY$87+3))</f>
        <v>42677</v>
      </c>
      <c r="BC73" s="546"/>
      <c r="BD73" s="546"/>
      <c r="BE73" s="547"/>
      <c r="BF73" s="573"/>
      <c r="BG73" s="561"/>
      <c r="BH73" s="561"/>
      <c r="BI73" s="575"/>
      <c r="BJ73" s="570"/>
      <c r="BK73" s="47"/>
      <c r="BL73" s="599"/>
    </row>
    <row r="74" spans="1:65" ht="11.25" customHeight="1" x14ac:dyDescent="0.25">
      <c r="A74" s="531"/>
      <c r="B74" s="533" t="str">
        <f>IF(AR14="","",AR14)</f>
        <v>金沢交流</v>
      </c>
      <c r="C74" s="534"/>
      <c r="D74" s="534"/>
      <c r="E74" s="534"/>
      <c r="F74" s="534"/>
      <c r="G74" s="534"/>
      <c r="H74" s="534"/>
      <c r="I74" s="543" t="str">
        <f>IF(AR24="","",AR24)</f>
        <v>小松市民</v>
      </c>
      <c r="J74" s="534"/>
      <c r="K74" s="534"/>
      <c r="L74" s="534"/>
      <c r="M74" s="534"/>
      <c r="N74" s="534"/>
      <c r="O74" s="535"/>
      <c r="P74" s="543" t="str">
        <f>IF(AR34="","",AR34)</f>
        <v>かほく市S</v>
      </c>
      <c r="Q74" s="534"/>
      <c r="R74" s="534"/>
      <c r="S74" s="534"/>
      <c r="T74" s="534"/>
      <c r="U74" s="534"/>
      <c r="V74" s="535"/>
      <c r="W74" s="543" t="str">
        <f>IF(AR44="","",AR44)</f>
        <v>金沢市民</v>
      </c>
      <c r="X74" s="534"/>
      <c r="Y74" s="534"/>
      <c r="Z74" s="534"/>
      <c r="AA74" s="534"/>
      <c r="AB74" s="534"/>
      <c r="AC74" s="535"/>
      <c r="AD74" s="543" t="str">
        <f>IF(AR54="","",AR54)</f>
        <v>小松市民</v>
      </c>
      <c r="AE74" s="534"/>
      <c r="AF74" s="534"/>
      <c r="AG74" s="534"/>
      <c r="AH74" s="534"/>
      <c r="AI74" s="534"/>
      <c r="AJ74" s="535"/>
      <c r="AK74" s="543" t="str">
        <f>IF(AR64="","",AR64)</f>
        <v>小松市民</v>
      </c>
      <c r="AL74" s="534"/>
      <c r="AM74" s="534"/>
      <c r="AN74" s="534"/>
      <c r="AO74" s="534"/>
      <c r="AP74" s="534"/>
      <c r="AQ74" s="535"/>
      <c r="AR74" s="2"/>
      <c r="AS74" s="3"/>
      <c r="AT74" s="3"/>
      <c r="AU74" s="3"/>
      <c r="AV74" s="3"/>
      <c r="AW74" s="3"/>
      <c r="AX74" s="4"/>
      <c r="AY74" s="543" t="str">
        <f>IF(INDEX(結果!$C$6:$BL$85,$BM65+9,AY$87)="","",INDEX(結果!$C$6:$BL$85,$BM65+9,AY$87))</f>
        <v>星稜ｻｯｶｰ場</v>
      </c>
      <c r="AZ74" s="534"/>
      <c r="BA74" s="534"/>
      <c r="BB74" s="534"/>
      <c r="BC74" s="534"/>
      <c r="BD74" s="534"/>
      <c r="BE74" s="535"/>
      <c r="BF74" s="589"/>
      <c r="BG74" s="562"/>
      <c r="BH74" s="562"/>
      <c r="BI74" s="584"/>
      <c r="BJ74" s="571"/>
      <c r="BK74" s="47"/>
      <c r="BL74" s="599"/>
    </row>
    <row r="75" spans="1:65" ht="11.25" customHeight="1" x14ac:dyDescent="0.25">
      <c r="A75" s="529" t="str">
        <f>INDEX(結果!$B$6:$BL$85,MATCH($BL75,結果!BP$6:BP$85,0),1)</f>
        <v>テイヘンズ
FC　1st</v>
      </c>
      <c r="B75" s="544">
        <f>IF(D77="","",D76+D77)</f>
        <v>0</v>
      </c>
      <c r="C75" s="537"/>
      <c r="D75" s="537"/>
      <c r="E75" s="9" t="str">
        <f>IF(D77="","",IF(B75=F75,"△",IF(B75&gt;F75,"○","●")))</f>
        <v>●</v>
      </c>
      <c r="F75" s="537">
        <f>IF(F77="","",F76+F77)</f>
        <v>10</v>
      </c>
      <c r="G75" s="537"/>
      <c r="H75" s="537"/>
      <c r="I75" s="544">
        <f>IF(K77="","",K76+K77)</f>
        <v>1</v>
      </c>
      <c r="J75" s="537"/>
      <c r="K75" s="537"/>
      <c r="L75" s="9" t="str">
        <f>IF(K77="","",IF(I75=M75,"△",IF(I75&gt;M75,"○","●")))</f>
        <v>●</v>
      </c>
      <c r="M75" s="537">
        <f>IF(M77="","",M76+M77)</f>
        <v>8</v>
      </c>
      <c r="N75" s="537"/>
      <c r="O75" s="542"/>
      <c r="P75" s="544">
        <f>IF(R77="","",R76+R77)</f>
        <v>0</v>
      </c>
      <c r="Q75" s="537"/>
      <c r="R75" s="537"/>
      <c r="S75" s="9" t="str">
        <f>IF(R77="","",IF(P75=T75,"△",IF(P75&gt;T75,"○","●")))</f>
        <v>●</v>
      </c>
      <c r="T75" s="537">
        <f>IF(T77="","",T76+T77)</f>
        <v>9</v>
      </c>
      <c r="U75" s="537"/>
      <c r="V75" s="542"/>
      <c r="W75" s="544">
        <f>IF(Y77="","",Y76+Y77)</f>
        <v>0</v>
      </c>
      <c r="X75" s="537"/>
      <c r="Y75" s="537"/>
      <c r="Z75" s="9" t="str">
        <f>IF(Y77="","",IF(W75=AA75,"△",IF(W75&gt;AA75,"○","●")))</f>
        <v>●</v>
      </c>
      <c r="AA75" s="537">
        <f>IF(AA77="","",AA76+AA77)</f>
        <v>5</v>
      </c>
      <c r="AB75" s="537"/>
      <c r="AC75" s="542"/>
      <c r="AD75" s="544">
        <f>IF(AF77="","",AF76+AF77)</f>
        <v>0</v>
      </c>
      <c r="AE75" s="537"/>
      <c r="AF75" s="537"/>
      <c r="AG75" s="9" t="str">
        <f>IF(AF77="","",IF(AD75=AH75,"△",IF(AD75&gt;AH75,"○","●")))</f>
        <v>●</v>
      </c>
      <c r="AH75" s="537">
        <f>IF(AH77="","",AH76+AH77)</f>
        <v>3</v>
      </c>
      <c r="AI75" s="537"/>
      <c r="AJ75" s="542"/>
      <c r="AK75" s="544">
        <f>IF(AM77="","",AM76+AM77)</f>
        <v>1</v>
      </c>
      <c r="AL75" s="537"/>
      <c r="AM75" s="537"/>
      <c r="AN75" s="9" t="str">
        <f>IF(AM77="","",IF(AK75=AO75,"△",IF(AK75&gt;AO75,"○","●")))</f>
        <v>●</v>
      </c>
      <c r="AO75" s="537">
        <f>IF(AO77="","",AO76+AO77)</f>
        <v>3</v>
      </c>
      <c r="AP75" s="537"/>
      <c r="AQ75" s="542"/>
      <c r="AR75" s="544">
        <f>IF(AT77="","",AT76+AT77)</f>
        <v>0</v>
      </c>
      <c r="AS75" s="537"/>
      <c r="AT75" s="537"/>
      <c r="AU75" s="9" t="str">
        <f>IF(AT77="","",IF(AR75=AV75,"△",IF(AR75&gt;AV75,"○","●")))</f>
        <v>●</v>
      </c>
      <c r="AV75" s="537">
        <f>IF(AV77="","",AV76+AV77)</f>
        <v>6</v>
      </c>
      <c r="AW75" s="537"/>
      <c r="AX75" s="542"/>
      <c r="AY75" s="5"/>
      <c r="AZ75" s="85"/>
      <c r="BA75" s="85"/>
      <c r="BB75" s="85"/>
      <c r="BC75" s="85"/>
      <c r="BD75" s="85"/>
      <c r="BE75" s="6"/>
      <c r="BF75" s="588">
        <f>IF(COUNT(B76:BE76)=0,"",COUNTIF(BB$5:BB$84,"●")*3+COUNTIF(BB$5:BB$84,"△"))</f>
        <v>1</v>
      </c>
      <c r="BG75" s="560">
        <f>IF(BF75="","",SUM(BC$5:BC$84)/2)</f>
        <v>4</v>
      </c>
      <c r="BH75" s="560">
        <f>IF(BF75="","",SUM(AY$5:AY$84))</f>
        <v>74</v>
      </c>
      <c r="BI75" s="583">
        <f>IF(BF75="","",BG75-BH75)</f>
        <v>-70</v>
      </c>
      <c r="BJ75" s="569">
        <f>IF(BF75="","",RANK(BK75,BK$5:BK$84))</f>
        <v>8</v>
      </c>
      <c r="BK75" s="47">
        <f>IF(BF75="",-ROW()*10000,BF75*10000+BI75*100+BG75+COUNTIF(B75:BE75,"&gt;=0")/20)</f>
        <v>3004.7</v>
      </c>
      <c r="BL75" s="599">
        <v>8</v>
      </c>
      <c r="BM75" s="1">
        <f>INDEX(結果!BM$6:BN$85,MATCH(BL75,結果!BP$6:BP$85,0),2)</f>
        <v>71</v>
      </c>
    </row>
    <row r="76" spans="1:65" ht="10.5" customHeight="1" x14ac:dyDescent="0.25">
      <c r="A76" s="530"/>
      <c r="B76" s="3"/>
      <c r="C76" s="5"/>
      <c r="D76" s="15">
        <f>IF(BC6="","",BC6)</f>
        <v>0</v>
      </c>
      <c r="E76" s="3" t="s">
        <v>199</v>
      </c>
      <c r="F76" s="16">
        <f>IF(BA6="","",BA6)</f>
        <v>3</v>
      </c>
      <c r="G76" s="6"/>
      <c r="H76" s="3"/>
      <c r="I76" s="2"/>
      <c r="J76" s="5"/>
      <c r="K76" s="15">
        <f>IF(BC16="","",BC16)</f>
        <v>0</v>
      </c>
      <c r="L76" s="3" t="s">
        <v>199</v>
      </c>
      <c r="M76" s="16">
        <f>IF(BA16="","",BA16)</f>
        <v>5</v>
      </c>
      <c r="N76" s="6"/>
      <c r="O76" s="4"/>
      <c r="P76" s="2"/>
      <c r="Q76" s="5"/>
      <c r="R76" s="15">
        <f>IF(BC26="","",BC26)</f>
        <v>0</v>
      </c>
      <c r="S76" s="3" t="s">
        <v>199</v>
      </c>
      <c r="T76" s="16">
        <f>IF(BA26="","",BA26)</f>
        <v>3</v>
      </c>
      <c r="U76" s="6"/>
      <c r="V76" s="4"/>
      <c r="W76" s="2"/>
      <c r="X76" s="5"/>
      <c r="Y76" s="15">
        <f>IF(BC36="","",BC36)</f>
        <v>0</v>
      </c>
      <c r="Z76" s="3" t="s">
        <v>199</v>
      </c>
      <c r="AA76" s="16">
        <f>IF(BA36="","",BA36)</f>
        <v>3</v>
      </c>
      <c r="AB76" s="6"/>
      <c r="AC76" s="4"/>
      <c r="AD76" s="2"/>
      <c r="AE76" s="5"/>
      <c r="AF76" s="15">
        <f>IF(BC46="","",BC46)</f>
        <v>0</v>
      </c>
      <c r="AG76" s="3" t="s">
        <v>199</v>
      </c>
      <c r="AH76" s="16">
        <f>IF(BA46="","",BA46)</f>
        <v>0</v>
      </c>
      <c r="AI76" s="6"/>
      <c r="AJ76" s="4"/>
      <c r="AK76" s="2"/>
      <c r="AL76" s="5"/>
      <c r="AM76" s="15">
        <f>IF(BC56="","",BC56)</f>
        <v>0</v>
      </c>
      <c r="AN76" s="3" t="s">
        <v>199</v>
      </c>
      <c r="AO76" s="16">
        <f>IF(BA56="","",BA56)</f>
        <v>1</v>
      </c>
      <c r="AP76" s="6"/>
      <c r="AQ76" s="4"/>
      <c r="AR76" s="2"/>
      <c r="AS76" s="5"/>
      <c r="AT76" s="15">
        <f>IF(BC66="","",BC66)</f>
        <v>0</v>
      </c>
      <c r="AU76" s="3" t="s">
        <v>199</v>
      </c>
      <c r="AV76" s="16">
        <f>IF(BA66="","",BA66)</f>
        <v>2</v>
      </c>
      <c r="AW76" s="6"/>
      <c r="AX76" s="4"/>
      <c r="AY76" s="2"/>
      <c r="AZ76" s="3"/>
      <c r="BA76" s="3"/>
      <c r="BB76" s="3"/>
      <c r="BC76" s="3"/>
      <c r="BD76" s="3"/>
      <c r="BE76" s="4"/>
      <c r="BF76" s="573"/>
      <c r="BG76" s="561"/>
      <c r="BH76" s="561"/>
      <c r="BI76" s="575"/>
      <c r="BJ76" s="570"/>
      <c r="BK76" s="47"/>
      <c r="BL76" s="599"/>
    </row>
    <row r="77" spans="1:65" ht="10.5" customHeight="1" x14ac:dyDescent="0.25">
      <c r="A77" s="530"/>
      <c r="B77" s="3"/>
      <c r="C77" s="7"/>
      <c r="D77" s="15">
        <f>IF(BC7="","",BC7)</f>
        <v>0</v>
      </c>
      <c r="E77" s="3" t="s">
        <v>199</v>
      </c>
      <c r="F77" s="16">
        <f>IF(BA7="","",BA7)</f>
        <v>7</v>
      </c>
      <c r="G77" s="8"/>
      <c r="H77" s="3"/>
      <c r="I77" s="2"/>
      <c r="J77" s="7"/>
      <c r="K77" s="15">
        <f>IF(BC17="","",BC17)</f>
        <v>1</v>
      </c>
      <c r="L77" s="3" t="s">
        <v>199</v>
      </c>
      <c r="M77" s="16">
        <f>IF(BA17="","",BA17)</f>
        <v>3</v>
      </c>
      <c r="N77" s="8"/>
      <c r="O77" s="4"/>
      <c r="P77" s="2"/>
      <c r="Q77" s="7"/>
      <c r="R77" s="15">
        <f>IF(BC27="","",BC27)</f>
        <v>0</v>
      </c>
      <c r="S77" s="3" t="s">
        <v>199</v>
      </c>
      <c r="T77" s="16">
        <f>IF(BA27="","",BA27)</f>
        <v>6</v>
      </c>
      <c r="U77" s="8"/>
      <c r="V77" s="4"/>
      <c r="W77" s="2"/>
      <c r="X77" s="7"/>
      <c r="Y77" s="15">
        <f>IF(BC37="","",BC37)</f>
        <v>0</v>
      </c>
      <c r="Z77" s="3" t="s">
        <v>199</v>
      </c>
      <c r="AA77" s="16">
        <f>IF(BA37="","",BA37)</f>
        <v>2</v>
      </c>
      <c r="AB77" s="8"/>
      <c r="AC77" s="4"/>
      <c r="AD77" s="2"/>
      <c r="AE77" s="7"/>
      <c r="AF77" s="15">
        <f>IF(BC47="","",BC47)</f>
        <v>0</v>
      </c>
      <c r="AG77" s="3" t="s">
        <v>199</v>
      </c>
      <c r="AH77" s="16">
        <f>IF(BA47="","",BA47)</f>
        <v>3</v>
      </c>
      <c r="AI77" s="8"/>
      <c r="AJ77" s="4"/>
      <c r="AK77" s="2"/>
      <c r="AL77" s="7"/>
      <c r="AM77" s="15">
        <f>IF(BC57="","",BC57)</f>
        <v>1</v>
      </c>
      <c r="AN77" s="3" t="s">
        <v>199</v>
      </c>
      <c r="AO77" s="16">
        <f>IF(BA57="","",BA57)</f>
        <v>2</v>
      </c>
      <c r="AP77" s="8"/>
      <c r="AQ77" s="4"/>
      <c r="AR77" s="2"/>
      <c r="AS77" s="7"/>
      <c r="AT77" s="15">
        <f>IF(BC67="","",BC67)</f>
        <v>0</v>
      </c>
      <c r="AU77" s="3" t="s">
        <v>199</v>
      </c>
      <c r="AV77" s="16">
        <f>IF(BA67="","",BA67)</f>
        <v>4</v>
      </c>
      <c r="AW77" s="8"/>
      <c r="AX77" s="4"/>
      <c r="AY77" s="2"/>
      <c r="AZ77" s="3"/>
      <c r="BA77" s="3"/>
      <c r="BB77" s="3"/>
      <c r="BC77" s="3"/>
      <c r="BD77" s="3"/>
      <c r="BE77" s="4"/>
      <c r="BF77" s="573"/>
      <c r="BG77" s="561"/>
      <c r="BH77" s="561"/>
      <c r="BI77" s="575"/>
      <c r="BJ77" s="570"/>
      <c r="BK77" s="47"/>
      <c r="BL77" s="599"/>
    </row>
    <row r="78" spans="1:65" ht="11.25" customHeight="1" x14ac:dyDescent="0.25">
      <c r="A78" s="530"/>
      <c r="B78" s="51"/>
      <c r="C78" s="532" t="str">
        <f>IF(B79="","",AZ8)</f>
        <v>②</v>
      </c>
      <c r="D78" s="532"/>
      <c r="E78" s="540">
        <f>IF(B79="","",BB8)</f>
        <v>42491</v>
      </c>
      <c r="F78" s="540"/>
      <c r="G78" s="540"/>
      <c r="H78" s="540"/>
      <c r="I78" s="51"/>
      <c r="J78" s="532" t="str">
        <f>IF(I79="","",AZ18)</f>
        <v>①</v>
      </c>
      <c r="K78" s="532"/>
      <c r="L78" s="540">
        <f>IF(I79="","",BB18)</f>
        <v>42489</v>
      </c>
      <c r="M78" s="540"/>
      <c r="N78" s="540"/>
      <c r="O78" s="541"/>
      <c r="P78" s="51"/>
      <c r="Q78" s="532" t="str">
        <f>IF(P79="","",AZ28)</f>
        <v>⑦</v>
      </c>
      <c r="R78" s="532"/>
      <c r="S78" s="540">
        <f>IF(P79="","",BB28)</f>
        <v>42560</v>
      </c>
      <c r="T78" s="540"/>
      <c r="U78" s="540"/>
      <c r="V78" s="541"/>
      <c r="W78" s="51"/>
      <c r="X78" s="532" t="str">
        <f>IF(W79="","",AZ38)</f>
        <v>④</v>
      </c>
      <c r="Y78" s="532"/>
      <c r="Z78" s="540">
        <f>IF(W79="","",BB38)</f>
        <v>42504</v>
      </c>
      <c r="AA78" s="540"/>
      <c r="AB78" s="540"/>
      <c r="AC78" s="541"/>
      <c r="AD78" s="51"/>
      <c r="AE78" s="532" t="str">
        <f>IF(AD79="","",AZ48)</f>
        <v>③</v>
      </c>
      <c r="AF78" s="532"/>
      <c r="AG78" s="540">
        <f>IF(AD79="","",BB48)</f>
        <v>42498</v>
      </c>
      <c r="AH78" s="540"/>
      <c r="AI78" s="540"/>
      <c r="AJ78" s="541"/>
      <c r="AK78" s="51"/>
      <c r="AL78" s="532" t="str">
        <f>IF(AK79="","",AZ58)</f>
        <v>⑤</v>
      </c>
      <c r="AM78" s="532"/>
      <c r="AN78" s="540">
        <f>IF(AK79="","",BB58)</f>
        <v>42512</v>
      </c>
      <c r="AO78" s="540"/>
      <c r="AP78" s="540"/>
      <c r="AQ78" s="541"/>
      <c r="AR78" s="51"/>
      <c r="AS78" s="532" t="str">
        <f>IF(AR79="","",AZ68)</f>
        <v>⑦</v>
      </c>
      <c r="AT78" s="532"/>
      <c r="AU78" s="540">
        <f>IF(AR79="","",BB68)</f>
        <v>42553</v>
      </c>
      <c r="AV78" s="540"/>
      <c r="AW78" s="540"/>
      <c r="AX78" s="541"/>
      <c r="AY78" s="2"/>
      <c r="AZ78" s="3"/>
      <c r="BA78" s="3"/>
      <c r="BB78" s="3"/>
      <c r="BC78" s="3"/>
      <c r="BD78" s="3"/>
      <c r="BE78" s="4"/>
      <c r="BF78" s="573"/>
      <c r="BG78" s="561"/>
      <c r="BH78" s="561"/>
      <c r="BI78" s="575"/>
      <c r="BJ78" s="570"/>
      <c r="BK78" s="47"/>
      <c r="BL78" s="599"/>
    </row>
    <row r="79" spans="1:65" ht="11.25" customHeight="1" x14ac:dyDescent="0.25">
      <c r="A79" s="530"/>
      <c r="B79" s="538" t="str">
        <f>IF(AY9="","",AY9)</f>
        <v>能登島Ｂ</v>
      </c>
      <c r="C79" s="532"/>
      <c r="D79" s="532"/>
      <c r="E79" s="532"/>
      <c r="F79" s="532"/>
      <c r="G79" s="532"/>
      <c r="H79" s="532"/>
      <c r="I79" s="548" t="str">
        <f>IF(AY19="","",AY19)</f>
        <v>能登島Ｂ</v>
      </c>
      <c r="J79" s="532"/>
      <c r="K79" s="532"/>
      <c r="L79" s="532"/>
      <c r="M79" s="532"/>
      <c r="N79" s="532"/>
      <c r="O79" s="539"/>
      <c r="P79" s="548" t="str">
        <f>IF(AY29="","",AY29)</f>
        <v>星稜ｻｯｶｰ場</v>
      </c>
      <c r="Q79" s="532"/>
      <c r="R79" s="532"/>
      <c r="S79" s="532"/>
      <c r="T79" s="532"/>
      <c r="U79" s="532"/>
      <c r="V79" s="539"/>
      <c r="W79" s="548" t="str">
        <f>IF(AY39="","",AY39)</f>
        <v>金沢交流</v>
      </c>
      <c r="X79" s="532"/>
      <c r="Y79" s="532"/>
      <c r="Z79" s="532"/>
      <c r="AA79" s="532"/>
      <c r="AB79" s="532"/>
      <c r="AC79" s="539"/>
      <c r="AD79" s="548" t="str">
        <f>IF(AY49="","",AY49)</f>
        <v>金沢交流</v>
      </c>
      <c r="AE79" s="532"/>
      <c r="AF79" s="532"/>
      <c r="AG79" s="532"/>
      <c r="AH79" s="532"/>
      <c r="AI79" s="532"/>
      <c r="AJ79" s="539"/>
      <c r="AK79" s="548" t="str">
        <f>IF(AY59="","",AY59)</f>
        <v>加賀陸上</v>
      </c>
      <c r="AL79" s="532"/>
      <c r="AM79" s="532"/>
      <c r="AN79" s="532"/>
      <c r="AO79" s="532"/>
      <c r="AP79" s="532"/>
      <c r="AQ79" s="539"/>
      <c r="AR79" s="548" t="str">
        <f>IF(AY69="","",AY69)</f>
        <v>金沢市民</v>
      </c>
      <c r="AS79" s="532"/>
      <c r="AT79" s="532"/>
      <c r="AU79" s="532"/>
      <c r="AV79" s="532"/>
      <c r="AW79" s="532"/>
      <c r="AX79" s="539"/>
      <c r="AY79" s="2"/>
      <c r="AZ79" s="3"/>
      <c r="BA79" s="3"/>
      <c r="BB79" s="3"/>
      <c r="BC79" s="3"/>
      <c r="BD79" s="3"/>
      <c r="BE79" s="4"/>
      <c r="BF79" s="573"/>
      <c r="BG79" s="561"/>
      <c r="BH79" s="561"/>
      <c r="BI79" s="575"/>
      <c r="BJ79" s="570"/>
      <c r="BK79" s="47"/>
      <c r="BL79" s="599"/>
    </row>
    <row r="80" spans="1:65" ht="11.25" customHeight="1" x14ac:dyDescent="0.25">
      <c r="A80" s="530"/>
      <c r="B80" s="536">
        <f>IF(D82="","",D81+D82)</f>
        <v>0</v>
      </c>
      <c r="C80" s="537"/>
      <c r="D80" s="537"/>
      <c r="E80" s="9" t="str">
        <f>IF(D82="","",IF(B80=F80,"△",IF(B80&gt;F80,"○","●")))</f>
        <v>●</v>
      </c>
      <c r="F80" s="537">
        <f>IF(F82="","",F81+F82)</f>
        <v>16</v>
      </c>
      <c r="G80" s="537"/>
      <c r="H80" s="537"/>
      <c r="I80" s="544" t="str">
        <f>IF(K82="","",K81+K82)</f>
        <v/>
      </c>
      <c r="J80" s="537"/>
      <c r="K80" s="537"/>
      <c r="L80" s="9" t="str">
        <f>IF(K82="","",IF(I80=M80,"△",IF(I80&gt;M80,"○","●")))</f>
        <v/>
      </c>
      <c r="M80" s="537" t="str">
        <f>IF(M82="","",M81+M82)</f>
        <v/>
      </c>
      <c r="N80" s="537"/>
      <c r="O80" s="542"/>
      <c r="P80" s="544">
        <f>IF(R82="","",R81+R82)</f>
        <v>1</v>
      </c>
      <c r="Q80" s="537"/>
      <c r="R80" s="537"/>
      <c r="S80" s="9" t="str">
        <f>IF(R82="","",IF(P80=T80,"△",IF(P80&gt;T80,"○","●")))</f>
        <v>●</v>
      </c>
      <c r="T80" s="537">
        <f>IF(T82="","",T81+T82)</f>
        <v>8</v>
      </c>
      <c r="U80" s="537"/>
      <c r="V80" s="542"/>
      <c r="W80" s="544">
        <f>IF(Y82="","",Y81+Y82)</f>
        <v>0</v>
      </c>
      <c r="X80" s="537"/>
      <c r="Y80" s="537"/>
      <c r="Z80" s="9" t="str">
        <f>IF(Y82="","",IF(W80=AA80,"△",IF(W80&gt;AA80,"○","●")))</f>
        <v>●</v>
      </c>
      <c r="AA80" s="537">
        <f>IF(AA82="","",AA81+AA82)</f>
        <v>5</v>
      </c>
      <c r="AB80" s="537"/>
      <c r="AC80" s="542"/>
      <c r="AD80" s="544" t="str">
        <f>IF(AF82="","",AF81+AF82)</f>
        <v/>
      </c>
      <c r="AE80" s="537"/>
      <c r="AF80" s="537"/>
      <c r="AG80" s="9" t="str">
        <f>IF(AF82="","",IF(AD80=AH80,"△",IF(AD80&gt;AH80,"○","●")))</f>
        <v/>
      </c>
      <c r="AH80" s="537" t="str">
        <f>IF(AH82="","",AH81+AH82)</f>
        <v/>
      </c>
      <c r="AI80" s="537"/>
      <c r="AJ80" s="542"/>
      <c r="AK80" s="544">
        <f>IF(AM82="","",AM81+AM82)</f>
        <v>1</v>
      </c>
      <c r="AL80" s="537"/>
      <c r="AM80" s="537"/>
      <c r="AN80" s="9" t="str">
        <f>IF(AM82="","",IF(AK80=AO80,"△",IF(AK80&gt;AO80,"○","●")))</f>
        <v>△</v>
      </c>
      <c r="AO80" s="537">
        <f>IF(AO82="","",AO81+AO82)</f>
        <v>1</v>
      </c>
      <c r="AP80" s="537"/>
      <c r="AQ80" s="542"/>
      <c r="AR80" s="544" t="str">
        <f>IF(AT82="","",AT81+AT82)</f>
        <v/>
      </c>
      <c r="AS80" s="537"/>
      <c r="AT80" s="537"/>
      <c r="AU80" s="9" t="str">
        <f>IF(AT82="","",IF(AR80=AV80,"△",IF(AR80&gt;AV80,"○","●")))</f>
        <v/>
      </c>
      <c r="AV80" s="537" t="str">
        <f>IF(AV82="","",AV81+AV82)</f>
        <v/>
      </c>
      <c r="AW80" s="537"/>
      <c r="AX80" s="542"/>
      <c r="AY80" s="2"/>
      <c r="AZ80" s="3"/>
      <c r="BA80" s="3"/>
      <c r="BB80" s="3"/>
      <c r="BC80" s="3"/>
      <c r="BD80" s="3"/>
      <c r="BE80" s="356"/>
      <c r="BF80" s="573"/>
      <c r="BG80" s="561"/>
      <c r="BH80" s="561"/>
      <c r="BI80" s="575"/>
      <c r="BJ80" s="570"/>
      <c r="BK80" s="47"/>
      <c r="BL80" s="599"/>
    </row>
    <row r="81" spans="1:64" ht="11.25" customHeight="1" x14ac:dyDescent="0.25">
      <c r="A81" s="530"/>
      <c r="B81" s="3"/>
      <c r="C81" s="5"/>
      <c r="D81" s="15">
        <f>IF(BC11="","",BC11)</f>
        <v>0</v>
      </c>
      <c r="E81" s="3" t="s">
        <v>199</v>
      </c>
      <c r="F81" s="16">
        <f>IF(BA11="","",BA11)</f>
        <v>4</v>
      </c>
      <c r="G81" s="6"/>
      <c r="H81" s="3"/>
      <c r="I81" s="2"/>
      <c r="J81" s="5"/>
      <c r="K81" s="15" t="str">
        <f>IF(BC21="","",BC21)</f>
        <v/>
      </c>
      <c r="L81" s="3" t="s">
        <v>199</v>
      </c>
      <c r="M81" s="16" t="str">
        <f>IF(BA21="","",BA21)</f>
        <v/>
      </c>
      <c r="N81" s="6"/>
      <c r="O81" s="4"/>
      <c r="P81" s="2"/>
      <c r="Q81" s="5"/>
      <c r="R81" s="15">
        <f>IF(BC31="","",BC31)</f>
        <v>1</v>
      </c>
      <c r="S81" s="3" t="s">
        <v>199</v>
      </c>
      <c r="T81" s="16">
        <f>IF(BA31="","",BA31)</f>
        <v>5</v>
      </c>
      <c r="U81" s="6"/>
      <c r="V81" s="4"/>
      <c r="W81" s="2"/>
      <c r="X81" s="5"/>
      <c r="Y81" s="15">
        <f>IF(BC41="","",BC41)</f>
        <v>0</v>
      </c>
      <c r="Z81" s="3" t="s">
        <v>199</v>
      </c>
      <c r="AA81" s="16">
        <f>IF(BA41="","",BA41)</f>
        <v>2</v>
      </c>
      <c r="AB81" s="6"/>
      <c r="AC81" s="4"/>
      <c r="AD81" s="2"/>
      <c r="AE81" s="5"/>
      <c r="AF81" s="15" t="str">
        <f>IF(BC51="","",BC51)</f>
        <v/>
      </c>
      <c r="AG81" s="3" t="s">
        <v>199</v>
      </c>
      <c r="AH81" s="16" t="str">
        <f>IF(BA51="","",BA51)</f>
        <v/>
      </c>
      <c r="AI81" s="6"/>
      <c r="AJ81" s="4"/>
      <c r="AK81" s="2"/>
      <c r="AL81" s="5"/>
      <c r="AM81" s="15">
        <f>IF(BC61="","",BC61)</f>
        <v>0</v>
      </c>
      <c r="AN81" s="3" t="s">
        <v>199</v>
      </c>
      <c r="AO81" s="16">
        <f>IF(BA61="","",BA61)</f>
        <v>0</v>
      </c>
      <c r="AP81" s="6"/>
      <c r="AQ81" s="4"/>
      <c r="AR81" s="2"/>
      <c r="AS81" s="5"/>
      <c r="AT81" s="15" t="str">
        <f>IF(BC71="","",BC71)</f>
        <v/>
      </c>
      <c r="AU81" s="3" t="s">
        <v>199</v>
      </c>
      <c r="AV81" s="16" t="str">
        <f>IF(BA71="","",BA71)</f>
        <v/>
      </c>
      <c r="AW81" s="6"/>
      <c r="AX81" s="4"/>
      <c r="AY81" s="2"/>
      <c r="AZ81" s="3"/>
      <c r="BA81" s="3"/>
      <c r="BB81" s="3"/>
      <c r="BC81" s="3"/>
      <c r="BD81" s="3"/>
      <c r="BE81" s="3"/>
      <c r="BF81" s="573"/>
      <c r="BG81" s="561"/>
      <c r="BH81" s="561"/>
      <c r="BI81" s="575"/>
      <c r="BJ81" s="570"/>
      <c r="BK81" s="47"/>
      <c r="BL81" s="599"/>
    </row>
    <row r="82" spans="1:64" ht="11.25" customHeight="1" x14ac:dyDescent="0.25">
      <c r="A82" s="530"/>
      <c r="B82" s="3"/>
      <c r="C82" s="7"/>
      <c r="D82" s="15">
        <f>IF(BC12="","",BC12)</f>
        <v>0</v>
      </c>
      <c r="E82" s="3" t="s">
        <v>199</v>
      </c>
      <c r="F82" s="16">
        <f>IF(BA12="","",BA12)</f>
        <v>12</v>
      </c>
      <c r="G82" s="8"/>
      <c r="H82" s="3"/>
      <c r="I82" s="2"/>
      <c r="J82" s="7"/>
      <c r="K82" s="15" t="str">
        <f>IF(BC22="","",BC22)</f>
        <v/>
      </c>
      <c r="L82" s="3" t="s">
        <v>199</v>
      </c>
      <c r="M82" s="16" t="str">
        <f>IF(BA22="","",BA22)</f>
        <v/>
      </c>
      <c r="N82" s="8"/>
      <c r="O82" s="4"/>
      <c r="P82" s="2"/>
      <c r="Q82" s="7"/>
      <c r="R82" s="15">
        <f>IF(BC32="","",BC32)</f>
        <v>0</v>
      </c>
      <c r="S82" s="3" t="s">
        <v>199</v>
      </c>
      <c r="T82" s="16">
        <f>IF(BA32="","",BA32)</f>
        <v>3</v>
      </c>
      <c r="U82" s="8"/>
      <c r="V82" s="4"/>
      <c r="W82" s="2"/>
      <c r="X82" s="7"/>
      <c r="Y82" s="15">
        <f>IF(BC42="","",BC42)</f>
        <v>0</v>
      </c>
      <c r="Z82" s="3" t="s">
        <v>199</v>
      </c>
      <c r="AA82" s="16">
        <f>IF(BA42="","",BA42)</f>
        <v>3</v>
      </c>
      <c r="AB82" s="8"/>
      <c r="AC82" s="4"/>
      <c r="AD82" s="2"/>
      <c r="AE82" s="7"/>
      <c r="AF82" s="15" t="str">
        <f>IF(BC52="","",BC52)</f>
        <v/>
      </c>
      <c r="AG82" s="3" t="s">
        <v>199</v>
      </c>
      <c r="AH82" s="16" t="str">
        <f>IF(BA52="","",BA52)</f>
        <v/>
      </c>
      <c r="AI82" s="8"/>
      <c r="AJ82" s="4"/>
      <c r="AK82" s="2"/>
      <c r="AL82" s="7"/>
      <c r="AM82" s="15">
        <f>IF(BC62="","",BC62)</f>
        <v>1</v>
      </c>
      <c r="AN82" s="3" t="s">
        <v>199</v>
      </c>
      <c r="AO82" s="16">
        <f>IF(BA62="","",BA62)</f>
        <v>1</v>
      </c>
      <c r="AP82" s="8"/>
      <c r="AQ82" s="4"/>
      <c r="AR82" s="2"/>
      <c r="AS82" s="7"/>
      <c r="AT82" s="15" t="str">
        <f>IF(BC72="","",BC72)</f>
        <v/>
      </c>
      <c r="AU82" s="3" t="s">
        <v>199</v>
      </c>
      <c r="AV82" s="16" t="str">
        <f>IF(BA72="","",BA72)</f>
        <v/>
      </c>
      <c r="AW82" s="8"/>
      <c r="AX82" s="4"/>
      <c r="AY82" s="2"/>
      <c r="AZ82" s="3"/>
      <c r="BA82" s="3"/>
      <c r="BB82" s="3"/>
      <c r="BC82" s="3"/>
      <c r="BD82" s="3"/>
      <c r="BE82" s="3"/>
      <c r="BF82" s="573"/>
      <c r="BG82" s="561"/>
      <c r="BH82" s="561"/>
      <c r="BI82" s="575"/>
      <c r="BJ82" s="570"/>
      <c r="BK82" s="47"/>
      <c r="BL82" s="599"/>
    </row>
    <row r="83" spans="1:64" ht="11.25" customHeight="1" x14ac:dyDescent="0.25">
      <c r="A83" s="530"/>
      <c r="B83" s="51"/>
      <c r="C83" s="532" t="str">
        <f>IF(B84="","",AZ13)</f>
        <v>②</v>
      </c>
      <c r="D83" s="532"/>
      <c r="E83" s="540">
        <f>IF(B84="","",BB13)</f>
        <v>42645</v>
      </c>
      <c r="F83" s="540"/>
      <c r="G83" s="540"/>
      <c r="H83" s="540"/>
      <c r="I83" s="51"/>
      <c r="J83" s="532" t="str">
        <f>IF(I84="","",AZ23)</f>
        <v>②</v>
      </c>
      <c r="K83" s="532"/>
      <c r="L83" s="540">
        <f>IF(I84="","",BB23)</f>
        <v>42658</v>
      </c>
      <c r="M83" s="540"/>
      <c r="N83" s="540"/>
      <c r="O83" s="541"/>
      <c r="P83" s="51"/>
      <c r="Q83" s="532" t="str">
        <f>IF(P84="","",AZ33)</f>
        <v>②</v>
      </c>
      <c r="R83" s="532"/>
      <c r="S83" s="540">
        <f>IF(P84="","",BB33)</f>
        <v>42617</v>
      </c>
      <c r="T83" s="540"/>
      <c r="U83" s="540"/>
      <c r="V83" s="541"/>
      <c r="W83" s="51"/>
      <c r="X83" s="532" t="str">
        <f>IF(W84="","",AZ43)</f>
        <v>⑧</v>
      </c>
      <c r="Y83" s="532"/>
      <c r="Z83" s="540">
        <f>IF(W84="","",BB43)</f>
        <v>42574</v>
      </c>
      <c r="AA83" s="540"/>
      <c r="AB83" s="540"/>
      <c r="AC83" s="541"/>
      <c r="AD83" s="51"/>
      <c r="AE83" s="532" t="str">
        <f>IF(AD84="","",AZ53)</f>
        <v>②</v>
      </c>
      <c r="AF83" s="532"/>
      <c r="AG83" s="540">
        <f>IF(AD84="","",BB53)</f>
        <v>42665</v>
      </c>
      <c r="AH83" s="540"/>
      <c r="AI83" s="540"/>
      <c r="AJ83" s="541"/>
      <c r="AK83" s="51"/>
      <c r="AL83" s="532" t="str">
        <f>IF(AK84="","",AZ63)</f>
        <v>⑨</v>
      </c>
      <c r="AM83" s="532"/>
      <c r="AN83" s="540">
        <f>IF(AK84="","",BB63)</f>
        <v>42588</v>
      </c>
      <c r="AO83" s="540"/>
      <c r="AP83" s="540"/>
      <c r="AQ83" s="541"/>
      <c r="AR83" s="51"/>
      <c r="AS83" s="532" t="str">
        <f>IF(AR84="","",AZ73)</f>
        <v>②</v>
      </c>
      <c r="AT83" s="532"/>
      <c r="AU83" s="540">
        <f>IF(AR84="","",BB73)</f>
        <v>42677</v>
      </c>
      <c r="AV83" s="540"/>
      <c r="AW83" s="540"/>
      <c r="AX83" s="541"/>
      <c r="AY83" s="2"/>
      <c r="AZ83" s="3"/>
      <c r="BA83" s="3"/>
      <c r="BB83" s="3"/>
      <c r="BC83" s="3"/>
      <c r="BD83" s="3"/>
      <c r="BE83" s="3"/>
      <c r="BF83" s="573"/>
      <c r="BG83" s="561"/>
      <c r="BH83" s="561"/>
      <c r="BI83" s="575"/>
      <c r="BJ83" s="570"/>
      <c r="BK83" s="47"/>
      <c r="BL83" s="599"/>
    </row>
    <row r="84" spans="1:64" ht="11.25" customHeight="1" thickBot="1" x14ac:dyDescent="0.3">
      <c r="A84" s="545"/>
      <c r="B84" s="557" t="str">
        <f>IF(AY14="","",AY14)</f>
        <v>かほく市S</v>
      </c>
      <c r="C84" s="558"/>
      <c r="D84" s="558"/>
      <c r="E84" s="558"/>
      <c r="F84" s="558"/>
      <c r="G84" s="558"/>
      <c r="H84" s="558"/>
      <c r="I84" s="563" t="str">
        <f>IF(AY24="","",AY24)</f>
        <v>金沢市民</v>
      </c>
      <c r="J84" s="558"/>
      <c r="K84" s="558"/>
      <c r="L84" s="558"/>
      <c r="M84" s="558"/>
      <c r="N84" s="558"/>
      <c r="O84" s="564"/>
      <c r="P84" s="563" t="str">
        <f>IF(AY34="","",AY34)</f>
        <v>小松市民</v>
      </c>
      <c r="Q84" s="558"/>
      <c r="R84" s="558"/>
      <c r="S84" s="558"/>
      <c r="T84" s="558"/>
      <c r="U84" s="558"/>
      <c r="V84" s="564"/>
      <c r="W84" s="563" t="str">
        <f>IF(AY44="","",AY44)</f>
        <v>北陸大FPB</v>
      </c>
      <c r="X84" s="558"/>
      <c r="Y84" s="558"/>
      <c r="Z84" s="558"/>
      <c r="AA84" s="558"/>
      <c r="AB84" s="558"/>
      <c r="AC84" s="564"/>
      <c r="AD84" s="563" t="str">
        <f>IF(AY54="","",AY54)</f>
        <v>金沢交流</v>
      </c>
      <c r="AE84" s="558"/>
      <c r="AF84" s="558"/>
      <c r="AG84" s="558"/>
      <c r="AH84" s="558"/>
      <c r="AI84" s="558"/>
      <c r="AJ84" s="564"/>
      <c r="AK84" s="563" t="str">
        <f>IF(AY64="","",AY64)</f>
        <v>金沢交流</v>
      </c>
      <c r="AL84" s="558"/>
      <c r="AM84" s="558"/>
      <c r="AN84" s="558"/>
      <c r="AO84" s="558"/>
      <c r="AP84" s="558"/>
      <c r="AQ84" s="564"/>
      <c r="AR84" s="563" t="str">
        <f>IF(AY74="","",AY74)</f>
        <v>星稜ｻｯｶｰ場</v>
      </c>
      <c r="AS84" s="558"/>
      <c r="AT84" s="558"/>
      <c r="AU84" s="558"/>
      <c r="AV84" s="558"/>
      <c r="AW84" s="558"/>
      <c r="AX84" s="564"/>
      <c r="AY84" s="86"/>
      <c r="AZ84" s="87"/>
      <c r="BA84" s="87"/>
      <c r="BB84" s="87"/>
      <c r="BC84" s="87"/>
      <c r="BD84" s="87"/>
      <c r="BE84" s="87"/>
      <c r="BF84" s="591"/>
      <c r="BG84" s="590"/>
      <c r="BH84" s="590"/>
      <c r="BI84" s="587"/>
      <c r="BJ84" s="585"/>
      <c r="BK84" s="47"/>
      <c r="BL84" s="599"/>
    </row>
    <row r="85" spans="1:64" ht="11.25" customHeight="1" x14ac:dyDescent="0.25">
      <c r="A85" s="52"/>
      <c r="B85" s="559"/>
      <c r="C85" s="559"/>
      <c r="D85" s="559"/>
      <c r="E85" s="53"/>
      <c r="F85" s="559"/>
      <c r="G85" s="559"/>
      <c r="H85" s="559"/>
      <c r="I85" s="559"/>
      <c r="J85" s="559"/>
      <c r="K85" s="559"/>
      <c r="L85" s="53"/>
      <c r="M85" s="559"/>
      <c r="N85" s="559"/>
      <c r="O85" s="559"/>
      <c r="P85" s="559"/>
      <c r="Q85" s="559"/>
      <c r="R85" s="559"/>
      <c r="S85" s="53"/>
      <c r="T85" s="559"/>
      <c r="U85" s="559"/>
      <c r="V85" s="559"/>
      <c r="W85" s="559"/>
      <c r="X85" s="559"/>
      <c r="Y85" s="559"/>
      <c r="Z85" s="53"/>
      <c r="AA85" s="559"/>
      <c r="AB85" s="559"/>
      <c r="AC85" s="559"/>
      <c r="AD85" s="559"/>
      <c r="AE85" s="559"/>
      <c r="AF85" s="559"/>
      <c r="AG85" s="53"/>
      <c r="AH85" s="559"/>
      <c r="AI85" s="559"/>
      <c r="AJ85" s="559"/>
      <c r="AK85" s="559"/>
      <c r="AL85" s="559"/>
      <c r="AM85" s="559"/>
      <c r="AN85" s="53"/>
      <c r="AO85" s="559"/>
      <c r="AP85" s="559"/>
      <c r="AQ85" s="559"/>
      <c r="AR85" s="559"/>
      <c r="AS85" s="559"/>
      <c r="AT85" s="559"/>
      <c r="AU85" s="53"/>
      <c r="AV85" s="559"/>
      <c r="AW85" s="559"/>
      <c r="AX85" s="559"/>
      <c r="AY85" s="559"/>
      <c r="AZ85" s="559"/>
      <c r="BA85" s="559"/>
      <c r="BB85" s="53"/>
      <c r="BC85" s="559"/>
      <c r="BD85" s="559"/>
      <c r="BE85" s="559"/>
      <c r="BF85" s="52"/>
      <c r="BG85" s="52">
        <f>SUM(BG5:BG84)</f>
        <v>199</v>
      </c>
      <c r="BH85" s="52">
        <f>SUM(BH5:BH84)</f>
        <v>199</v>
      </c>
      <c r="BI85" s="52">
        <f>SUM(BI5:BI84)</f>
        <v>0</v>
      </c>
      <c r="BJ85" s="52"/>
    </row>
    <row r="86" spans="1:64" ht="15" customHeight="1" x14ac:dyDescent="0.25">
      <c r="I86" s="1"/>
      <c r="O86" s="1"/>
    </row>
    <row r="87" spans="1:64" x14ac:dyDescent="0.25">
      <c r="B87" s="549">
        <f>INDEX(結果!$C$6:$BN$88,82,MATCH(B4,結果!$C$5:$BL$5,0))</f>
        <v>36</v>
      </c>
      <c r="C87" s="549"/>
      <c r="D87" s="549"/>
      <c r="E87" s="549"/>
      <c r="F87" s="549"/>
      <c r="G87" s="549"/>
      <c r="H87" s="549"/>
      <c r="I87" s="549">
        <f>INDEX(結果!$C$6:$BN$88,82,MATCH(I4,結果!$C$5:$BL$5,0))</f>
        <v>1</v>
      </c>
      <c r="J87" s="549"/>
      <c r="K87" s="549"/>
      <c r="L87" s="549"/>
      <c r="M87" s="549"/>
      <c r="N87" s="549"/>
      <c r="O87" s="549"/>
      <c r="P87" s="549">
        <f>INDEX(結果!$C$6:$BN$88,82,MATCH(P4,結果!$C$5:$BL$5,0))</f>
        <v>15</v>
      </c>
      <c r="Q87" s="549"/>
      <c r="R87" s="549"/>
      <c r="S87" s="549"/>
      <c r="T87" s="549"/>
      <c r="U87" s="549"/>
      <c r="V87" s="549"/>
      <c r="W87" s="549">
        <f>INDEX(結果!$C$6:$BN$88,82,MATCH(W4,結果!$C$5:$BL$5,0))</f>
        <v>8</v>
      </c>
      <c r="X87" s="549"/>
      <c r="Y87" s="549"/>
      <c r="Z87" s="549"/>
      <c r="AA87" s="549"/>
      <c r="AB87" s="549"/>
      <c r="AC87" s="549"/>
      <c r="AD87" s="549">
        <f>INDEX(結果!$C$6:$BN$88,82,MATCH(AD4,結果!$C$5:$BL$5,0))</f>
        <v>43</v>
      </c>
      <c r="AE87" s="549"/>
      <c r="AF87" s="549"/>
      <c r="AG87" s="549"/>
      <c r="AH87" s="549"/>
      <c r="AI87" s="549"/>
      <c r="AJ87" s="549"/>
      <c r="AK87" s="549">
        <f>INDEX(結果!$C$6:$BN$88,82,MATCH(AK4,結果!$C$5:$BL$5,0))</f>
        <v>22</v>
      </c>
      <c r="AL87" s="549"/>
      <c r="AM87" s="549"/>
      <c r="AN87" s="549"/>
      <c r="AO87" s="549"/>
      <c r="AP87" s="549"/>
      <c r="AQ87" s="549"/>
      <c r="AR87" s="549">
        <f>INDEX(結果!$C$6:$BN$88,82,MATCH(AR4,結果!$C$5:$BL$5,0))</f>
        <v>29</v>
      </c>
      <c r="AS87" s="549"/>
      <c r="AT87" s="549"/>
      <c r="AU87" s="549"/>
      <c r="AV87" s="549"/>
      <c r="AW87" s="549"/>
      <c r="AX87" s="549"/>
      <c r="AY87" s="549">
        <f>INDEX(結果!$C$6:$BN$88,82,MATCH(AY4,結果!$C$5:$BL$5,0))</f>
        <v>50</v>
      </c>
      <c r="AZ87" s="549"/>
      <c r="BA87" s="549"/>
      <c r="BB87" s="549"/>
      <c r="BC87" s="549"/>
      <c r="BD87" s="549"/>
      <c r="BE87" s="549"/>
    </row>
    <row r="88" spans="1:64" x14ac:dyDescent="0.25">
      <c r="I88" s="1"/>
      <c r="O88" s="1"/>
    </row>
    <row r="89" spans="1:64" x14ac:dyDescent="0.25">
      <c r="I89" s="1"/>
      <c r="O89" s="1"/>
    </row>
    <row r="90" spans="1:64" x14ac:dyDescent="0.25">
      <c r="I90" s="1"/>
      <c r="O90" s="1"/>
    </row>
    <row r="91" spans="1:64" x14ac:dyDescent="0.25">
      <c r="I91" s="1"/>
      <c r="O91" s="1"/>
    </row>
    <row r="92" spans="1:64" x14ac:dyDescent="0.25">
      <c r="I92" s="1"/>
      <c r="O92" s="1"/>
    </row>
    <row r="93" spans="1:64" x14ac:dyDescent="0.25">
      <c r="I93" s="1"/>
      <c r="O93" s="1"/>
    </row>
    <row r="94" spans="1:64" x14ac:dyDescent="0.25">
      <c r="I94" s="1"/>
      <c r="O94" s="1"/>
    </row>
    <row r="95" spans="1:64" x14ac:dyDescent="0.25">
      <c r="I95" s="1"/>
      <c r="O95" s="1"/>
    </row>
    <row r="96" spans="1:64" x14ac:dyDescent="0.25">
      <c r="I96" s="1"/>
      <c r="O96" s="1"/>
    </row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</sheetData>
  <mergeCells count="650">
    <mergeCell ref="BL35:BL44"/>
    <mergeCell ref="BL45:BL54"/>
    <mergeCell ref="BF45:BF54"/>
    <mergeCell ref="BJ35:BJ44"/>
    <mergeCell ref="BG35:BG44"/>
    <mergeCell ref="BF35:BF44"/>
    <mergeCell ref="BJ45:BJ54"/>
    <mergeCell ref="BL55:BL64"/>
    <mergeCell ref="AZ38:BA38"/>
    <mergeCell ref="BB38:BE38"/>
    <mergeCell ref="AY39:BE39"/>
    <mergeCell ref="AY54:BE54"/>
    <mergeCell ref="AY45:BA45"/>
    <mergeCell ref="AY50:BA50"/>
    <mergeCell ref="BG45:BG54"/>
    <mergeCell ref="BC50:BE50"/>
    <mergeCell ref="AY49:BE49"/>
    <mergeCell ref="BI35:BI44"/>
    <mergeCell ref="BH35:BH44"/>
    <mergeCell ref="AY35:BA35"/>
    <mergeCell ref="BC35:BE35"/>
    <mergeCell ref="BH45:BH54"/>
    <mergeCell ref="BB53:BE53"/>
    <mergeCell ref="BI45:BI54"/>
    <mergeCell ref="BJ55:BJ64"/>
    <mergeCell ref="BG55:BG64"/>
    <mergeCell ref="BH55:BH64"/>
    <mergeCell ref="BI55:BI64"/>
    <mergeCell ref="BF55:BF64"/>
    <mergeCell ref="AZ53:BA53"/>
    <mergeCell ref="BC60:BE60"/>
    <mergeCell ref="BC55:BE55"/>
    <mergeCell ref="BB58:BE58"/>
    <mergeCell ref="AY64:BE64"/>
    <mergeCell ref="AU53:AX53"/>
    <mergeCell ref="AD55:AF55"/>
    <mergeCell ref="AU58:AX58"/>
    <mergeCell ref="AH55:AJ55"/>
    <mergeCell ref="AE58:AF58"/>
    <mergeCell ref="AG58:AJ58"/>
    <mergeCell ref="AD59:AJ59"/>
    <mergeCell ref="AL53:AM53"/>
    <mergeCell ref="BB43:BE43"/>
    <mergeCell ref="AR64:AX64"/>
    <mergeCell ref="AS63:AT63"/>
    <mergeCell ref="AZ63:BA63"/>
    <mergeCell ref="AZ43:BA43"/>
    <mergeCell ref="AS58:AT58"/>
    <mergeCell ref="AV50:AX50"/>
    <mergeCell ref="AR54:AX54"/>
    <mergeCell ref="AY55:BA55"/>
    <mergeCell ref="AY44:BE44"/>
    <mergeCell ref="AR59:AX59"/>
    <mergeCell ref="AR60:AT60"/>
    <mergeCell ref="AU63:AX63"/>
    <mergeCell ref="AY60:BA60"/>
    <mergeCell ref="BB63:BE63"/>
    <mergeCell ref="BB48:BE48"/>
    <mergeCell ref="AZ48:BA48"/>
    <mergeCell ref="BC45:BE45"/>
    <mergeCell ref="AR50:AT50"/>
    <mergeCell ref="AV60:AX60"/>
    <mergeCell ref="AR55:AT55"/>
    <mergeCell ref="AY59:BE59"/>
    <mergeCell ref="AV55:AX55"/>
    <mergeCell ref="AZ58:BA58"/>
    <mergeCell ref="AS53:AT53"/>
    <mergeCell ref="AK65:AM65"/>
    <mergeCell ref="AO65:AQ65"/>
    <mergeCell ref="AD69:AJ69"/>
    <mergeCell ref="AD64:AJ64"/>
    <mergeCell ref="AE63:AF63"/>
    <mergeCell ref="AD60:AF60"/>
    <mergeCell ref="AH60:AJ60"/>
    <mergeCell ref="AL73:AM73"/>
    <mergeCell ref="AO70:AQ70"/>
    <mergeCell ref="AN68:AQ68"/>
    <mergeCell ref="AL68:AM68"/>
    <mergeCell ref="AH65:AJ65"/>
    <mergeCell ref="BL75:BL84"/>
    <mergeCell ref="BH75:BH84"/>
    <mergeCell ref="BG75:BG84"/>
    <mergeCell ref="BJ65:BJ74"/>
    <mergeCell ref="BJ75:BJ84"/>
    <mergeCell ref="BG65:BG74"/>
    <mergeCell ref="BI75:BI84"/>
    <mergeCell ref="BF75:BF84"/>
    <mergeCell ref="AK75:AM75"/>
    <mergeCell ref="AL83:AM83"/>
    <mergeCell ref="BL65:BL74"/>
    <mergeCell ref="BF65:BF74"/>
    <mergeCell ref="BC65:BE65"/>
    <mergeCell ref="AY69:BE69"/>
    <mergeCell ref="BB73:BE73"/>
    <mergeCell ref="BH65:BH74"/>
    <mergeCell ref="BI65:BI74"/>
    <mergeCell ref="BB68:BE68"/>
    <mergeCell ref="AU78:AX78"/>
    <mergeCell ref="AR75:AT75"/>
    <mergeCell ref="AZ68:BA68"/>
    <mergeCell ref="AZ73:BA73"/>
    <mergeCell ref="AY65:BA65"/>
    <mergeCell ref="AR79:AX79"/>
    <mergeCell ref="A75:A84"/>
    <mergeCell ref="L78:O78"/>
    <mergeCell ref="E78:H78"/>
    <mergeCell ref="E83:H83"/>
    <mergeCell ref="C83:D83"/>
    <mergeCell ref="B84:H84"/>
    <mergeCell ref="F80:H80"/>
    <mergeCell ref="B79:H79"/>
    <mergeCell ref="B80:D80"/>
    <mergeCell ref="F75:H75"/>
    <mergeCell ref="B75:D75"/>
    <mergeCell ref="AK74:AQ74"/>
    <mergeCell ref="AN73:AQ73"/>
    <mergeCell ref="W69:AC69"/>
    <mergeCell ref="AK69:AQ69"/>
    <mergeCell ref="AE73:AF73"/>
    <mergeCell ref="AG73:AJ73"/>
    <mergeCell ref="AA75:AC75"/>
    <mergeCell ref="AL78:AM78"/>
    <mergeCell ref="AN78:AQ78"/>
    <mergeCell ref="AK70:AM70"/>
    <mergeCell ref="W50:Y50"/>
    <mergeCell ref="T50:V50"/>
    <mergeCell ref="E58:H58"/>
    <mergeCell ref="M55:O55"/>
    <mergeCell ref="Q58:R58"/>
    <mergeCell ref="L53:O53"/>
    <mergeCell ref="P50:R50"/>
    <mergeCell ref="M60:O60"/>
    <mergeCell ref="B69:H69"/>
    <mergeCell ref="I69:O69"/>
    <mergeCell ref="P69:V69"/>
    <mergeCell ref="W64:AC64"/>
    <mergeCell ref="P49:V49"/>
    <mergeCell ref="S53:V53"/>
    <mergeCell ref="P54:V54"/>
    <mergeCell ref="B65:D65"/>
    <mergeCell ref="C68:D68"/>
    <mergeCell ref="F65:H65"/>
    <mergeCell ref="J63:K63"/>
    <mergeCell ref="X58:Y58"/>
    <mergeCell ref="AA55:AC55"/>
    <mergeCell ref="P65:R65"/>
    <mergeCell ref="Q63:R63"/>
    <mergeCell ref="S58:V58"/>
    <mergeCell ref="W59:AC59"/>
    <mergeCell ref="P59:V59"/>
    <mergeCell ref="AA60:AC60"/>
    <mergeCell ref="W60:Y60"/>
    <mergeCell ref="P55:R55"/>
    <mergeCell ref="Z63:AC63"/>
    <mergeCell ref="AA65:AC65"/>
    <mergeCell ref="X68:Y68"/>
    <mergeCell ref="Q68:R68"/>
    <mergeCell ref="P64:V64"/>
    <mergeCell ref="P60:R60"/>
    <mergeCell ref="X63:Y63"/>
    <mergeCell ref="E53:H53"/>
    <mergeCell ref="B49:H49"/>
    <mergeCell ref="A65:A74"/>
    <mergeCell ref="A55:A64"/>
    <mergeCell ref="B60:D60"/>
    <mergeCell ref="F60:H60"/>
    <mergeCell ref="B55:D55"/>
    <mergeCell ref="F55:H55"/>
    <mergeCell ref="B59:H59"/>
    <mergeCell ref="B64:H64"/>
    <mergeCell ref="C63:D63"/>
    <mergeCell ref="E63:H63"/>
    <mergeCell ref="A45:A54"/>
    <mergeCell ref="B70:D70"/>
    <mergeCell ref="B74:H74"/>
    <mergeCell ref="F70:H70"/>
    <mergeCell ref="C73:D73"/>
    <mergeCell ref="E73:H73"/>
    <mergeCell ref="S63:V63"/>
    <mergeCell ref="T60:V60"/>
    <mergeCell ref="I60:K60"/>
    <mergeCell ref="P44:V44"/>
    <mergeCell ref="E68:H68"/>
    <mergeCell ref="C58:D58"/>
    <mergeCell ref="W55:Y55"/>
    <mergeCell ref="I45:K45"/>
    <mergeCell ref="X48:Y48"/>
    <mergeCell ref="J48:K48"/>
    <mergeCell ref="L48:O48"/>
    <mergeCell ref="S48:V48"/>
    <mergeCell ref="Q48:R48"/>
    <mergeCell ref="C53:D53"/>
    <mergeCell ref="F50:H50"/>
    <mergeCell ref="C48:D48"/>
    <mergeCell ref="B54:H54"/>
    <mergeCell ref="B50:D50"/>
    <mergeCell ref="E48:H48"/>
    <mergeCell ref="T65:V65"/>
    <mergeCell ref="T55:V55"/>
    <mergeCell ref="Q53:R53"/>
    <mergeCell ref="M50:O50"/>
    <mergeCell ref="B45:D45"/>
    <mergeCell ref="Z23:AC23"/>
    <mergeCell ref="X23:Y23"/>
    <mergeCell ref="E33:H33"/>
    <mergeCell ref="B29:H29"/>
    <mergeCell ref="F30:H30"/>
    <mergeCell ref="M35:O35"/>
    <mergeCell ref="M45:O45"/>
    <mergeCell ref="T45:V45"/>
    <mergeCell ref="P45:R45"/>
    <mergeCell ref="Q43:R43"/>
    <mergeCell ref="S43:V43"/>
    <mergeCell ref="S38:V38"/>
    <mergeCell ref="B39:H39"/>
    <mergeCell ref="F45:H45"/>
    <mergeCell ref="I40:K40"/>
    <mergeCell ref="B44:H44"/>
    <mergeCell ref="B40:D40"/>
    <mergeCell ref="B35:D35"/>
    <mergeCell ref="J43:K43"/>
    <mergeCell ref="F40:H40"/>
    <mergeCell ref="I44:O44"/>
    <mergeCell ref="F35:H35"/>
    <mergeCell ref="E38:H38"/>
    <mergeCell ref="W10:Y10"/>
    <mergeCell ref="S13:V13"/>
    <mergeCell ref="AD14:AJ14"/>
    <mergeCell ref="AG13:AJ13"/>
    <mergeCell ref="P9:V9"/>
    <mergeCell ref="P15:R15"/>
    <mergeCell ref="A25:A34"/>
    <mergeCell ref="B30:D30"/>
    <mergeCell ref="C28:D28"/>
    <mergeCell ref="F25:H25"/>
    <mergeCell ref="E28:H28"/>
    <mergeCell ref="B25:D25"/>
    <mergeCell ref="B34:H34"/>
    <mergeCell ref="AG18:AJ18"/>
    <mergeCell ref="AD15:AF15"/>
    <mergeCell ref="AE18:AF18"/>
    <mergeCell ref="C33:D33"/>
    <mergeCell ref="J33:K33"/>
    <mergeCell ref="Q23:R23"/>
    <mergeCell ref="M25:O25"/>
    <mergeCell ref="L28:O28"/>
    <mergeCell ref="L33:O33"/>
    <mergeCell ref="I25:K25"/>
    <mergeCell ref="I29:O29"/>
    <mergeCell ref="AK15:AM15"/>
    <mergeCell ref="AO15:AQ15"/>
    <mergeCell ref="AR15:AT15"/>
    <mergeCell ref="AK14:AQ14"/>
    <mergeCell ref="AN13:AQ13"/>
    <mergeCell ref="AK10:AM10"/>
    <mergeCell ref="AR10:AT10"/>
    <mergeCell ref="AK9:AQ9"/>
    <mergeCell ref="AD10:AF10"/>
    <mergeCell ref="AR9:AX9"/>
    <mergeCell ref="AV10:AX10"/>
    <mergeCell ref="AD9:AJ9"/>
    <mergeCell ref="AR39:AX39"/>
    <mergeCell ref="AR35:AT35"/>
    <mergeCell ref="AK35:AM35"/>
    <mergeCell ref="AU38:AX38"/>
    <mergeCell ref="AS38:AT38"/>
    <mergeCell ref="L38:O38"/>
    <mergeCell ref="J38:K38"/>
    <mergeCell ref="AR34:AX34"/>
    <mergeCell ref="Z28:AC28"/>
    <mergeCell ref="AA30:AC30"/>
    <mergeCell ref="Z33:AC33"/>
    <mergeCell ref="W30:Y30"/>
    <mergeCell ref="I30:K30"/>
    <mergeCell ref="A35:A44"/>
    <mergeCell ref="C38:D38"/>
    <mergeCell ref="I39:O39"/>
    <mergeCell ref="L43:O43"/>
    <mergeCell ref="M40:O40"/>
    <mergeCell ref="AD35:AF35"/>
    <mergeCell ref="T35:V35"/>
    <mergeCell ref="AV35:AX35"/>
    <mergeCell ref="I34:O34"/>
    <mergeCell ref="T40:V40"/>
    <mergeCell ref="P40:R40"/>
    <mergeCell ref="AE38:AF38"/>
    <mergeCell ref="AD39:AJ39"/>
    <mergeCell ref="AH40:AJ40"/>
    <mergeCell ref="AG38:AJ38"/>
    <mergeCell ref="I35:K35"/>
    <mergeCell ref="W34:AC34"/>
    <mergeCell ref="AH35:AJ35"/>
    <mergeCell ref="P35:R35"/>
    <mergeCell ref="AD40:AF40"/>
    <mergeCell ref="C43:D43"/>
    <mergeCell ref="Q38:R38"/>
    <mergeCell ref="E43:H43"/>
    <mergeCell ref="P39:V39"/>
    <mergeCell ref="AK20:AM20"/>
    <mergeCell ref="AR29:AX29"/>
    <mergeCell ref="AR30:AT30"/>
    <mergeCell ref="AO30:AQ30"/>
    <mergeCell ref="AL33:AM33"/>
    <mergeCell ref="AK30:AM30"/>
    <mergeCell ref="AK25:AM25"/>
    <mergeCell ref="AN33:AQ33"/>
    <mergeCell ref="AR25:AT25"/>
    <mergeCell ref="AU33:AX33"/>
    <mergeCell ref="BJ25:BJ34"/>
    <mergeCell ref="AY25:BA25"/>
    <mergeCell ref="AY30:BA30"/>
    <mergeCell ref="AZ18:BA18"/>
    <mergeCell ref="BJ15:BJ24"/>
    <mergeCell ref="AE28:AF28"/>
    <mergeCell ref="AH25:AJ25"/>
    <mergeCell ref="AE33:AF33"/>
    <mergeCell ref="AH30:AJ30"/>
    <mergeCell ref="AG28:AJ28"/>
    <mergeCell ref="BB23:BE23"/>
    <mergeCell ref="AZ23:BA23"/>
    <mergeCell ref="BI25:BI34"/>
    <mergeCell ref="AZ33:BA33"/>
    <mergeCell ref="BC25:BE25"/>
    <mergeCell ref="AY29:BE29"/>
    <mergeCell ref="AZ28:BA28"/>
    <mergeCell ref="AS33:AT33"/>
    <mergeCell ref="AV30:AX30"/>
    <mergeCell ref="AD30:AF30"/>
    <mergeCell ref="AG33:AJ33"/>
    <mergeCell ref="BC20:BE20"/>
    <mergeCell ref="AR24:AX24"/>
    <mergeCell ref="AV25:AX25"/>
    <mergeCell ref="AL28:AM28"/>
    <mergeCell ref="B24:H24"/>
    <mergeCell ref="AO45:AQ45"/>
    <mergeCell ref="AK44:AQ44"/>
    <mergeCell ref="AN43:AQ43"/>
    <mergeCell ref="AO40:AQ40"/>
    <mergeCell ref="AK40:AM40"/>
    <mergeCell ref="AL43:AM43"/>
    <mergeCell ref="AK45:AM45"/>
    <mergeCell ref="AD24:AJ24"/>
    <mergeCell ref="AD34:AJ34"/>
    <mergeCell ref="AK34:AQ34"/>
    <mergeCell ref="AK24:AQ24"/>
    <mergeCell ref="AD29:AJ29"/>
    <mergeCell ref="J28:K28"/>
    <mergeCell ref="M30:O30"/>
    <mergeCell ref="AO35:AQ35"/>
    <mergeCell ref="AK39:AQ39"/>
    <mergeCell ref="AN38:AQ38"/>
    <mergeCell ref="AL38:AM38"/>
    <mergeCell ref="P24:V24"/>
    <mergeCell ref="W24:AC24"/>
    <mergeCell ref="A15:A24"/>
    <mergeCell ref="C18:D18"/>
    <mergeCell ref="B15:D15"/>
    <mergeCell ref="AL13:AM13"/>
    <mergeCell ref="L13:O13"/>
    <mergeCell ref="W15:Y15"/>
    <mergeCell ref="F15:H15"/>
    <mergeCell ref="X13:Y13"/>
    <mergeCell ref="AE13:AF13"/>
    <mergeCell ref="Z13:AC13"/>
    <mergeCell ref="Q18:R18"/>
    <mergeCell ref="W19:AC19"/>
    <mergeCell ref="P20:R20"/>
    <mergeCell ref="T20:V20"/>
    <mergeCell ref="S18:V18"/>
    <mergeCell ref="B19:H19"/>
    <mergeCell ref="X18:Y18"/>
    <mergeCell ref="E18:H18"/>
    <mergeCell ref="F20:H20"/>
    <mergeCell ref="W20:Y20"/>
    <mergeCell ref="S23:V23"/>
    <mergeCell ref="AD19:AJ19"/>
    <mergeCell ref="AE23:AF23"/>
    <mergeCell ref="AK19:AQ19"/>
    <mergeCell ref="AO10:AQ10"/>
    <mergeCell ref="AN8:AQ8"/>
    <mergeCell ref="AH10:AJ10"/>
    <mergeCell ref="AE8:AF8"/>
    <mergeCell ref="Q8:R8"/>
    <mergeCell ref="X8:Y8"/>
    <mergeCell ref="Z8:AC8"/>
    <mergeCell ref="S8:V8"/>
    <mergeCell ref="E23:H23"/>
    <mergeCell ref="AN18:AQ18"/>
    <mergeCell ref="AL18:AM18"/>
    <mergeCell ref="AA20:AC20"/>
    <mergeCell ref="I9:O9"/>
    <mergeCell ref="P19:V19"/>
    <mergeCell ref="P14:V14"/>
    <mergeCell ref="AH15:AJ15"/>
    <mergeCell ref="I14:O14"/>
    <mergeCell ref="AG8:AJ8"/>
    <mergeCell ref="AN23:AQ23"/>
    <mergeCell ref="AL23:AM23"/>
    <mergeCell ref="Z18:AC18"/>
    <mergeCell ref="AO20:AQ20"/>
    <mergeCell ref="AH20:AJ20"/>
    <mergeCell ref="AD20:AF20"/>
    <mergeCell ref="AY9:BE9"/>
    <mergeCell ref="AY10:BA10"/>
    <mergeCell ref="AY34:BE34"/>
    <mergeCell ref="AS8:AT8"/>
    <mergeCell ref="AS23:AT23"/>
    <mergeCell ref="AR20:AT20"/>
    <mergeCell ref="AS13:AT13"/>
    <mergeCell ref="AR19:AX19"/>
    <mergeCell ref="AU8:AX8"/>
    <mergeCell ref="AY15:BA15"/>
    <mergeCell ref="AR14:AX14"/>
    <mergeCell ref="AU18:AX18"/>
    <mergeCell ref="AS18:AT18"/>
    <mergeCell ref="AV15:AX15"/>
    <mergeCell ref="AZ13:BA13"/>
    <mergeCell ref="AY14:BE14"/>
    <mergeCell ref="AY19:BE19"/>
    <mergeCell ref="AU13:AX13"/>
    <mergeCell ref="AY20:BA20"/>
    <mergeCell ref="BB13:BE13"/>
    <mergeCell ref="AU28:AX28"/>
    <mergeCell ref="AS28:AT28"/>
    <mergeCell ref="AU23:AX23"/>
    <mergeCell ref="AV20:AX20"/>
    <mergeCell ref="BL5:BL14"/>
    <mergeCell ref="BC30:BE30"/>
    <mergeCell ref="BB18:BE18"/>
    <mergeCell ref="BJ5:BJ14"/>
    <mergeCell ref="BH15:BH24"/>
    <mergeCell ref="BI5:BI14"/>
    <mergeCell ref="AY24:BE24"/>
    <mergeCell ref="AZ8:BA8"/>
    <mergeCell ref="BF5:BF14"/>
    <mergeCell ref="BL15:BL24"/>
    <mergeCell ref="BH25:BH34"/>
    <mergeCell ref="BG15:BG24"/>
    <mergeCell ref="BB28:BE28"/>
    <mergeCell ref="BF15:BF24"/>
    <mergeCell ref="BF25:BF34"/>
    <mergeCell ref="BI15:BI24"/>
    <mergeCell ref="BL25:BL34"/>
    <mergeCell ref="BB33:BE33"/>
    <mergeCell ref="BG25:BG34"/>
    <mergeCell ref="BG5:BG14"/>
    <mergeCell ref="BC10:BE10"/>
    <mergeCell ref="BC15:BE15"/>
    <mergeCell ref="BH5:BH14"/>
    <mergeCell ref="BB8:BE8"/>
    <mergeCell ref="BC40:BE40"/>
    <mergeCell ref="AY40:BA40"/>
    <mergeCell ref="AN48:AQ48"/>
    <mergeCell ref="AU43:AX43"/>
    <mergeCell ref="AR44:AX44"/>
    <mergeCell ref="AR49:AX49"/>
    <mergeCell ref="AK49:AQ49"/>
    <mergeCell ref="AS43:AT43"/>
    <mergeCell ref="AV45:AX45"/>
    <mergeCell ref="AR40:AT40"/>
    <mergeCell ref="AU48:AX48"/>
    <mergeCell ref="AV40:AX40"/>
    <mergeCell ref="AR45:AT45"/>
    <mergeCell ref="AS48:AT48"/>
    <mergeCell ref="AG68:AJ68"/>
    <mergeCell ref="AH85:AJ85"/>
    <mergeCell ref="AD79:AJ79"/>
    <mergeCell ref="Z73:AC73"/>
    <mergeCell ref="AH70:AJ70"/>
    <mergeCell ref="AD70:AF70"/>
    <mergeCell ref="AD74:AJ74"/>
    <mergeCell ref="AH75:AJ75"/>
    <mergeCell ref="S68:V68"/>
    <mergeCell ref="X78:Y78"/>
    <mergeCell ref="P79:V79"/>
    <mergeCell ref="AG78:AJ78"/>
    <mergeCell ref="P80:R80"/>
    <mergeCell ref="AD80:AF80"/>
    <mergeCell ref="Z83:AC83"/>
    <mergeCell ref="X83:Y83"/>
    <mergeCell ref="Q83:R83"/>
    <mergeCell ref="T80:V80"/>
    <mergeCell ref="S78:V78"/>
    <mergeCell ref="X73:Y73"/>
    <mergeCell ref="P70:R70"/>
    <mergeCell ref="T70:V70"/>
    <mergeCell ref="S73:V73"/>
    <mergeCell ref="P74:V74"/>
    <mergeCell ref="BC85:BE85"/>
    <mergeCell ref="AS83:AT83"/>
    <mergeCell ref="BC70:BE70"/>
    <mergeCell ref="AV85:AX85"/>
    <mergeCell ref="AR85:AT85"/>
    <mergeCell ref="AS78:AT78"/>
    <mergeCell ref="AR80:AT80"/>
    <mergeCell ref="AV75:AX75"/>
    <mergeCell ref="AY70:BA70"/>
    <mergeCell ref="AY74:BE74"/>
    <mergeCell ref="AU83:AX83"/>
    <mergeCell ref="AK85:AM85"/>
    <mergeCell ref="AD84:AJ84"/>
    <mergeCell ref="AE78:AF78"/>
    <mergeCell ref="AV80:AX80"/>
    <mergeCell ref="AD85:AF85"/>
    <mergeCell ref="AG83:AJ83"/>
    <mergeCell ref="AK84:AQ84"/>
    <mergeCell ref="AE83:AF83"/>
    <mergeCell ref="AH80:AJ80"/>
    <mergeCell ref="AO80:AQ80"/>
    <mergeCell ref="P87:V87"/>
    <mergeCell ref="M85:O85"/>
    <mergeCell ref="P75:R75"/>
    <mergeCell ref="Q78:R78"/>
    <mergeCell ref="S83:V83"/>
    <mergeCell ref="AY87:BE87"/>
    <mergeCell ref="AK79:AQ79"/>
    <mergeCell ref="AN83:AQ83"/>
    <mergeCell ref="AK80:AM80"/>
    <mergeCell ref="AY85:BA85"/>
    <mergeCell ref="AA85:AC85"/>
    <mergeCell ref="W75:Y75"/>
    <mergeCell ref="W79:AC79"/>
    <mergeCell ref="Z78:AC78"/>
    <mergeCell ref="W85:Y85"/>
    <mergeCell ref="T75:V75"/>
    <mergeCell ref="W84:AC84"/>
    <mergeCell ref="W87:AC87"/>
    <mergeCell ref="AO75:AQ75"/>
    <mergeCell ref="AD87:AJ87"/>
    <mergeCell ref="AR84:AX84"/>
    <mergeCell ref="AR87:AX87"/>
    <mergeCell ref="AK87:AQ87"/>
    <mergeCell ref="AO85:AQ85"/>
    <mergeCell ref="J53:K53"/>
    <mergeCell ref="J68:K68"/>
    <mergeCell ref="M65:O65"/>
    <mergeCell ref="L68:O68"/>
    <mergeCell ref="I65:K65"/>
    <mergeCell ref="I55:K55"/>
    <mergeCell ref="L63:O63"/>
    <mergeCell ref="I59:O59"/>
    <mergeCell ref="I64:O64"/>
    <mergeCell ref="Q73:R73"/>
    <mergeCell ref="B85:D85"/>
    <mergeCell ref="M75:O75"/>
    <mergeCell ref="J83:K83"/>
    <mergeCell ref="T85:V85"/>
    <mergeCell ref="P84:V84"/>
    <mergeCell ref="I74:O74"/>
    <mergeCell ref="C78:D78"/>
    <mergeCell ref="M70:O70"/>
    <mergeCell ref="I70:K70"/>
    <mergeCell ref="P85:R85"/>
    <mergeCell ref="L73:O73"/>
    <mergeCell ref="J73:K73"/>
    <mergeCell ref="I75:K75"/>
    <mergeCell ref="B87:H87"/>
    <mergeCell ref="I79:O79"/>
    <mergeCell ref="I80:K80"/>
    <mergeCell ref="M80:O80"/>
    <mergeCell ref="I84:O84"/>
    <mergeCell ref="J78:K78"/>
    <mergeCell ref="I85:K85"/>
    <mergeCell ref="I87:O87"/>
    <mergeCell ref="L83:O83"/>
    <mergeCell ref="F85:H85"/>
    <mergeCell ref="Z58:AC58"/>
    <mergeCell ref="W54:AC54"/>
    <mergeCell ref="AD75:AF75"/>
    <mergeCell ref="W80:Y80"/>
    <mergeCell ref="W74:AC74"/>
    <mergeCell ref="AA80:AC80"/>
    <mergeCell ref="AE68:AF68"/>
    <mergeCell ref="Z68:AC68"/>
    <mergeCell ref="AA70:AC70"/>
    <mergeCell ref="W70:Y70"/>
    <mergeCell ref="AD65:AF65"/>
    <mergeCell ref="W65:Y65"/>
    <mergeCell ref="AA50:AC50"/>
    <mergeCell ref="X53:Y53"/>
    <mergeCell ref="Z53:AC53"/>
    <mergeCell ref="AG63:AJ63"/>
    <mergeCell ref="I5:K5"/>
    <mergeCell ref="M5:O5"/>
    <mergeCell ref="AL48:AM48"/>
    <mergeCell ref="AK29:AQ29"/>
    <mergeCell ref="AO25:AQ25"/>
    <mergeCell ref="AN28:AQ28"/>
    <mergeCell ref="I10:K10"/>
    <mergeCell ref="M10:O10"/>
    <mergeCell ref="Q13:R13"/>
    <mergeCell ref="P10:R10"/>
    <mergeCell ref="I49:O49"/>
    <mergeCell ref="L58:O58"/>
    <mergeCell ref="I50:K50"/>
    <mergeCell ref="I54:O54"/>
    <mergeCell ref="J58:K58"/>
    <mergeCell ref="AK54:AQ54"/>
    <mergeCell ref="AO50:AQ50"/>
    <mergeCell ref="AK50:AM50"/>
    <mergeCell ref="AN53:AQ53"/>
    <mergeCell ref="W49:AC49"/>
    <mergeCell ref="Z48:AC48"/>
    <mergeCell ref="AG43:AJ43"/>
    <mergeCell ref="AE43:AF43"/>
    <mergeCell ref="AD44:AJ44"/>
    <mergeCell ref="B4:H4"/>
    <mergeCell ref="AA45:AC45"/>
    <mergeCell ref="W29:AC29"/>
    <mergeCell ref="X33:Y33"/>
    <mergeCell ref="W25:Y25"/>
    <mergeCell ref="X28:Y28"/>
    <mergeCell ref="AA25:AC25"/>
    <mergeCell ref="W45:Y45"/>
    <mergeCell ref="J8:K8"/>
    <mergeCell ref="J13:K13"/>
    <mergeCell ref="L8:O8"/>
    <mergeCell ref="W9:AC9"/>
    <mergeCell ref="B20:D20"/>
    <mergeCell ref="C23:D23"/>
    <mergeCell ref="AH5:AJ5"/>
    <mergeCell ref="AD25:AF25"/>
    <mergeCell ref="AG23:AJ23"/>
    <mergeCell ref="T15:V15"/>
    <mergeCell ref="AA15:AC15"/>
    <mergeCell ref="T10:V10"/>
    <mergeCell ref="AR5:AT5"/>
    <mergeCell ref="AL8:AM8"/>
    <mergeCell ref="BG3:BJ3"/>
    <mergeCell ref="AY5:BA5"/>
    <mergeCell ref="A3:BF3"/>
    <mergeCell ref="AD4:AJ4"/>
    <mergeCell ref="AO5:AQ5"/>
    <mergeCell ref="AK4:AQ4"/>
    <mergeCell ref="W5:Y5"/>
    <mergeCell ref="AY4:BE4"/>
    <mergeCell ref="AV5:AX5"/>
    <mergeCell ref="I4:O4"/>
    <mergeCell ref="AR4:AX4"/>
    <mergeCell ref="AK5:AM5"/>
    <mergeCell ref="P4:V4"/>
    <mergeCell ref="AA5:AC5"/>
    <mergeCell ref="P5:R5"/>
    <mergeCell ref="W4:AC4"/>
    <mergeCell ref="T5:V5"/>
    <mergeCell ref="AD5:AF5"/>
    <mergeCell ref="BC5:BE5"/>
    <mergeCell ref="A5:A14"/>
    <mergeCell ref="W14:AC14"/>
    <mergeCell ref="AA10:AC10"/>
  </mergeCells>
  <phoneticPr fontId="2"/>
  <printOptions horizontalCentered="1"/>
  <pageMargins left="0.59055118110236227" right="0.39370078740157483" top="0.39370078740157483" bottom="0.19685039370078741" header="0.51181102362204722" footer="0.51181102362204722"/>
  <pageSetup paperSize="9" scale="90" orientation="portrait" horizont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FFFF"/>
    <pageSetUpPr fitToPage="1"/>
  </sheetPr>
  <dimension ref="A1:AD20"/>
  <sheetViews>
    <sheetView tabSelected="1" view="pageBreakPreview" zoomScale="120" zoomScaleNormal="120" zoomScaleSheetLayoutView="120" workbookViewId="0">
      <pane xSplit="1" ySplit="3" topLeftCell="B4" activePane="bottomRight" state="frozen"/>
      <selection pane="topRight" activeCell="AR51" sqref="AR51:AX58"/>
      <selection pane="bottomLeft" activeCell="AR51" sqref="AR51:AX58"/>
      <selection pane="bottomRight" activeCell="K7" sqref="I7:K10"/>
    </sheetView>
  </sheetViews>
  <sheetFormatPr defaultColWidth="9" defaultRowHeight="12.75" x14ac:dyDescent="0.25"/>
  <cols>
    <col min="1" max="1" width="15" style="1" customWidth="1"/>
    <col min="2" max="4" width="3.265625" style="1" customWidth="1"/>
    <col min="5" max="5" width="3.265625" style="3" customWidth="1"/>
    <col min="6" max="25" width="3.265625" style="1" customWidth="1"/>
    <col min="26" max="30" width="4.86328125" style="1" customWidth="1"/>
    <col min="31" max="16384" width="9" style="1"/>
  </cols>
  <sheetData>
    <row r="1" spans="1:30" ht="22.5" customHeight="1" x14ac:dyDescent="0.25">
      <c r="A1" s="68" t="s">
        <v>216</v>
      </c>
      <c r="E1" s="1"/>
      <c r="K1" s="65" t="s">
        <v>205</v>
      </c>
      <c r="AD1" s="3"/>
    </row>
    <row r="2" spans="1:30" ht="26.25" customHeight="1" thickBot="1" x14ac:dyDescent="0.3">
      <c r="A2" s="550" t="str">
        <f>結果!B4</f>
        <v>高円宮杯 第９回 石川県ユース(Ｕ－1５)サッカーチャレンジリーグ 2016</v>
      </c>
      <c r="B2" s="550"/>
      <c r="C2" s="550"/>
      <c r="D2" s="550"/>
      <c r="E2" s="550"/>
      <c r="F2" s="550"/>
      <c r="G2" s="550"/>
      <c r="H2" s="550"/>
      <c r="I2" s="550"/>
      <c r="J2" s="550"/>
      <c r="K2" s="550"/>
      <c r="L2" s="550"/>
      <c r="M2" s="550"/>
      <c r="N2" s="550"/>
      <c r="O2" s="550"/>
      <c r="P2" s="550"/>
      <c r="Q2" s="550"/>
      <c r="R2" s="550"/>
      <c r="S2" s="550"/>
      <c r="T2" s="54"/>
      <c r="U2" s="54"/>
      <c r="V2" s="54"/>
      <c r="W2" s="54"/>
      <c r="X2" s="54"/>
      <c r="Y2" s="54"/>
      <c r="Z2" s="54"/>
      <c r="AA2" s="624" t="s">
        <v>217</v>
      </c>
      <c r="AB2" s="624"/>
      <c r="AC2" s="624"/>
      <c r="AD2" s="54"/>
    </row>
    <row r="3" spans="1:30" ht="27.75" customHeight="1" thickBot="1" x14ac:dyDescent="0.3">
      <c r="A3" s="23" t="str">
        <f>結果!B5</f>
        <v>トップ</v>
      </c>
      <c r="B3" s="605" t="str">
        <f>ソート!B4</f>
        <v>サザン1st</v>
      </c>
      <c r="C3" s="603"/>
      <c r="D3" s="604"/>
      <c r="E3" s="602" t="str">
        <f>ソート!I4</f>
        <v>ﾂｴｰｹﾞﾝ1st</v>
      </c>
      <c r="F3" s="603"/>
      <c r="G3" s="604"/>
      <c r="H3" s="602" t="str">
        <f>ソート!P4</f>
        <v>星稜中</v>
      </c>
      <c r="I3" s="603"/>
      <c r="J3" s="604"/>
      <c r="K3" s="602" t="str">
        <f>ソート!W4</f>
        <v>セブン1st</v>
      </c>
      <c r="L3" s="603"/>
      <c r="M3" s="604"/>
      <c r="N3" s="602" t="str">
        <f>ソート!AD4</f>
        <v>ﾍﾐﾆｽ1st</v>
      </c>
      <c r="O3" s="603"/>
      <c r="P3" s="604"/>
      <c r="Q3" s="602" t="str">
        <f>ソート!AK4</f>
        <v>Riopedra</v>
      </c>
      <c r="R3" s="603"/>
      <c r="S3" s="604"/>
      <c r="T3" s="602" t="str">
        <f>ソート!AR4</f>
        <v>FC小松1st</v>
      </c>
      <c r="U3" s="603"/>
      <c r="V3" s="604"/>
      <c r="W3" s="602" t="str">
        <f>ソート!AY4</f>
        <v>ﾃｲﾍﾝｽﾞ1st</v>
      </c>
      <c r="X3" s="603"/>
      <c r="Y3" s="604"/>
      <c r="Z3" s="25" t="s">
        <v>207</v>
      </c>
      <c r="AA3" s="24" t="s">
        <v>208</v>
      </c>
      <c r="AB3" s="24" t="s">
        <v>209</v>
      </c>
      <c r="AC3" s="26" t="s">
        <v>210</v>
      </c>
      <c r="AD3" s="27" t="s">
        <v>211</v>
      </c>
    </row>
    <row r="4" spans="1:30" ht="25.5" customHeight="1" thickTop="1" x14ac:dyDescent="0.25">
      <c r="A4" s="606" t="str">
        <f>ソート!A5</f>
        <v>FC.
SOUTHERN
1st</v>
      </c>
      <c r="B4" s="59"/>
      <c r="C4" s="60"/>
      <c r="D4" s="61"/>
      <c r="E4" s="103">
        <f>IF(ソート!I5="","",ソート!I5)</f>
        <v>2</v>
      </c>
      <c r="F4" s="57" t="str">
        <f>IF(E4="","",ソート!L5)</f>
        <v>○</v>
      </c>
      <c r="G4" s="57">
        <f>IF(E4="","",ソート!M5)</f>
        <v>0</v>
      </c>
      <c r="H4" s="103">
        <f>IF(ソート!P5="","",ソート!P5)</f>
        <v>5</v>
      </c>
      <c r="I4" s="57" t="str">
        <f>IF(H4="","",ソート!S5)</f>
        <v>○</v>
      </c>
      <c r="J4" s="57">
        <f>IF(H4="","",ソート!T5)</f>
        <v>1</v>
      </c>
      <c r="K4" s="103">
        <f>IF(ソート!W5="","",ソート!W5)</f>
        <v>1</v>
      </c>
      <c r="L4" s="57" t="str">
        <f>IF(K4="","",ソート!Z5)</f>
        <v>△</v>
      </c>
      <c r="M4" s="57">
        <f>IF(K4="","",ソート!AA5)</f>
        <v>1</v>
      </c>
      <c r="N4" s="103">
        <f>IF(ソート!AD5="","",ソート!AD5)</f>
        <v>3</v>
      </c>
      <c r="O4" s="57" t="str">
        <f>IF(N4="","",ソート!AG5)</f>
        <v>△</v>
      </c>
      <c r="P4" s="57">
        <f>IF(N4="","",ソート!AH5)</f>
        <v>3</v>
      </c>
      <c r="Q4" s="103">
        <f>IF(ソート!AK5="","",ソート!AK5)</f>
        <v>3</v>
      </c>
      <c r="R4" s="57" t="str">
        <f>IF(Q4="","",ソート!AN5)</f>
        <v>○</v>
      </c>
      <c r="S4" s="57">
        <f>IF(Q4="","",ソート!AO5)</f>
        <v>0</v>
      </c>
      <c r="T4" s="103">
        <f>IF(ソート!AR5="","",ソート!AR5)</f>
        <v>1</v>
      </c>
      <c r="U4" s="57" t="str">
        <f>IF(T4="","",ソート!AU5)</f>
        <v>○</v>
      </c>
      <c r="V4" s="57">
        <f>IF(T4="","",ソート!AV5)</f>
        <v>0</v>
      </c>
      <c r="W4" s="103">
        <f>IF(ソート!AY5="","",ソート!AY5)</f>
        <v>10</v>
      </c>
      <c r="X4" s="57" t="str">
        <f>IF(W4="","",ソート!BB5)</f>
        <v>○</v>
      </c>
      <c r="Y4" s="57">
        <f>IF(W4="","",ソート!BC5)</f>
        <v>0</v>
      </c>
      <c r="Z4" s="618">
        <f>IF(ソート!BF5="","",ソート!BF5)</f>
        <v>29</v>
      </c>
      <c r="AA4" s="625">
        <f>IF(Z4="","",ソート!BG5)</f>
        <v>56</v>
      </c>
      <c r="AB4" s="625">
        <f>IF(AA4="","",ソート!BH5)</f>
        <v>5</v>
      </c>
      <c r="AC4" s="627">
        <f>IF(AB4="","",ソート!BI5)</f>
        <v>51</v>
      </c>
      <c r="AD4" s="613">
        <f>IF(ソート!BJ5="","",ソート!BJ5)</f>
        <v>1</v>
      </c>
    </row>
    <row r="5" spans="1:30" ht="25.5" customHeight="1" x14ac:dyDescent="0.25">
      <c r="A5" s="607"/>
      <c r="B5" s="69"/>
      <c r="C5" s="57"/>
      <c r="D5" s="79"/>
      <c r="E5" s="104" t="str">
        <f>IF(ソート!I10="","",ソート!I10)</f>
        <v/>
      </c>
      <c r="F5" s="105" t="str">
        <f>IF(E5="","",ソート!L10)</f>
        <v/>
      </c>
      <c r="G5" s="105" t="str">
        <f>IF(E5="","",ソート!M10)</f>
        <v/>
      </c>
      <c r="H5" s="104">
        <f>IF(ソート!P10="","",ソート!P10)</f>
        <v>2</v>
      </c>
      <c r="I5" s="105" t="str">
        <f>IF(H5="","",ソート!S10)</f>
        <v>○</v>
      </c>
      <c r="J5" s="105">
        <f>IF(H5="","",ソート!T10)</f>
        <v>0</v>
      </c>
      <c r="K5" s="104" t="str">
        <f>IF(ソート!W10="","",ソート!W10)</f>
        <v/>
      </c>
      <c r="L5" s="105" t="str">
        <f>IF(K5="","",ソート!Z10)</f>
        <v/>
      </c>
      <c r="M5" s="105" t="str">
        <f>IF(K5="","",ソート!AA10)</f>
        <v/>
      </c>
      <c r="N5" s="104">
        <f>IF(ソート!AD10="","",ソート!AD10)</f>
        <v>9</v>
      </c>
      <c r="O5" s="105" t="str">
        <f>IF(N5="","",ソート!AG10)</f>
        <v>○</v>
      </c>
      <c r="P5" s="105">
        <f>IF(N5="","",ソート!AH10)</f>
        <v>0</v>
      </c>
      <c r="Q5" s="104" t="str">
        <f>IF(ソート!AK10="","",ソート!AK10)</f>
        <v/>
      </c>
      <c r="R5" s="105" t="str">
        <f>IF(Q5="","",ソート!AN10)</f>
        <v/>
      </c>
      <c r="S5" s="105" t="str">
        <f>IF(Q5="","",ソート!AO10)</f>
        <v/>
      </c>
      <c r="T5" s="104">
        <f>IF(ソート!AR10="","",ソート!AR10)</f>
        <v>4</v>
      </c>
      <c r="U5" s="105" t="str">
        <f>IF(T5="","",ソート!AU10)</f>
        <v>○</v>
      </c>
      <c r="V5" s="105">
        <f>IF(T5="","",ソート!AV10)</f>
        <v>0</v>
      </c>
      <c r="W5" s="104">
        <f>IF(ソート!AY10="","",ソート!AY10)</f>
        <v>16</v>
      </c>
      <c r="X5" s="105" t="str">
        <f>IF(W5="","",ソート!BB10)</f>
        <v>○</v>
      </c>
      <c r="Y5" s="106">
        <f>IF(W5="","",ソート!BC10)</f>
        <v>0</v>
      </c>
      <c r="Z5" s="619"/>
      <c r="AA5" s="626"/>
      <c r="AB5" s="626"/>
      <c r="AC5" s="628"/>
      <c r="AD5" s="614"/>
    </row>
    <row r="6" spans="1:30" ht="25.5" customHeight="1" x14ac:dyDescent="0.25">
      <c r="A6" s="600" t="str">
        <f>ソート!A15</f>
        <v>ツエーゲン
金沢U-15
1st</v>
      </c>
      <c r="B6" s="107">
        <f>IF(ソート!B15="","",ソート!B15)</f>
        <v>0</v>
      </c>
      <c r="C6" s="108" t="str">
        <f>IF(B6="","",ソート!E15)</f>
        <v>●</v>
      </c>
      <c r="D6" s="108">
        <f>IF(B6="","",ソート!F15)</f>
        <v>2</v>
      </c>
      <c r="E6" s="62"/>
      <c r="F6" s="63"/>
      <c r="G6" s="64"/>
      <c r="H6" s="109">
        <f>IF(ソート!P15="","",ソート!P15)</f>
        <v>5</v>
      </c>
      <c r="I6" s="108" t="str">
        <f>IF(H6="","",ソート!S15)</f>
        <v>○</v>
      </c>
      <c r="J6" s="108">
        <f>IF(H6="","",ソート!T15)</f>
        <v>0</v>
      </c>
      <c r="K6" s="109">
        <f>IF(ソート!W15="","",ソート!W15)</f>
        <v>1</v>
      </c>
      <c r="L6" s="108" t="str">
        <f>IF(K6="","",ソート!Z15)</f>
        <v>△</v>
      </c>
      <c r="M6" s="108">
        <f>IF(K6="","",ソート!AA15)</f>
        <v>1</v>
      </c>
      <c r="N6" s="109">
        <f>IF(ソート!AD15="","",ソート!AD15)</f>
        <v>1</v>
      </c>
      <c r="O6" s="108" t="str">
        <f>IF(N6="","",ソート!AG15)</f>
        <v>○</v>
      </c>
      <c r="P6" s="108">
        <f>IF(N6="","",ソート!AH15)</f>
        <v>0</v>
      </c>
      <c r="Q6" s="109">
        <f>IF(ソート!AK15="","",ソート!AK15)</f>
        <v>7</v>
      </c>
      <c r="R6" s="108" t="str">
        <f>IF(Q6="","",ソート!AN15)</f>
        <v>○</v>
      </c>
      <c r="S6" s="108">
        <f>IF(Q6="","",ソート!AO15)</f>
        <v>0</v>
      </c>
      <c r="T6" s="109">
        <f>IF(ソート!AR15="","",ソート!AR15)</f>
        <v>10</v>
      </c>
      <c r="U6" s="108" t="str">
        <f>IF(T6="","",ソート!AU15)</f>
        <v>○</v>
      </c>
      <c r="V6" s="108">
        <f>IF(T6="","",ソート!AV15)</f>
        <v>0</v>
      </c>
      <c r="W6" s="109">
        <f>IF(ソート!AY15="","",ソート!AY15)</f>
        <v>8</v>
      </c>
      <c r="X6" s="108" t="str">
        <f>IF(W6="","",ソート!BB15)</f>
        <v>○</v>
      </c>
      <c r="Y6" s="110">
        <f>IF(W6="","",ソート!BC15)</f>
        <v>1</v>
      </c>
      <c r="Z6" s="611">
        <f>IF(ソート!BF15="","",ソート!BF15)</f>
        <v>28</v>
      </c>
      <c r="AA6" s="620">
        <f>IF(ソート!BG15="","",ソート!BG15)</f>
        <v>48</v>
      </c>
      <c r="AB6" s="620">
        <f>IF(ソート!BH15="","",ソート!BH15)</f>
        <v>5</v>
      </c>
      <c r="AC6" s="622">
        <f>IF(ソート!BI15="","",ソート!BI15)</f>
        <v>43</v>
      </c>
      <c r="AD6" s="616">
        <f>IF(ソート!BJ15="","",ソート!BJ15)</f>
        <v>2</v>
      </c>
    </row>
    <row r="7" spans="1:30" ht="25.5" customHeight="1" x14ac:dyDescent="0.25">
      <c r="A7" s="601"/>
      <c r="B7" s="111" t="str">
        <f>IF(ソート!B20="","",ソート!B20)</f>
        <v/>
      </c>
      <c r="C7" s="105" t="str">
        <f>IF(B7="","",ソート!E20)</f>
        <v/>
      </c>
      <c r="D7" s="105" t="str">
        <f>IF(B7="","",ソート!F20)</f>
        <v/>
      </c>
      <c r="E7" s="21"/>
      <c r="F7" s="58"/>
      <c r="G7" s="22"/>
      <c r="H7" s="104" t="str">
        <f>IF(ソート!P20="","",ソート!P20)</f>
        <v/>
      </c>
      <c r="I7" s="105" t="str">
        <f>IF(H7="","",ソート!S20)</f>
        <v/>
      </c>
      <c r="J7" s="105" t="str">
        <f>IF(H7="","",ソート!T20)</f>
        <v/>
      </c>
      <c r="K7" s="104">
        <f>IF(ソート!W20="","",ソート!W20)</f>
        <v>3</v>
      </c>
      <c r="L7" s="105" t="str">
        <f>IF(K7="","",ソート!Z20)</f>
        <v>○</v>
      </c>
      <c r="M7" s="105">
        <f>IF(K7="","",ソート!AA20)</f>
        <v>0</v>
      </c>
      <c r="N7" s="104">
        <f>IF(ソート!AD20="","",ソート!AD20)</f>
        <v>3</v>
      </c>
      <c r="O7" s="105" t="str">
        <f>IF(N7="","",ソート!AG20)</f>
        <v>○</v>
      </c>
      <c r="P7" s="105">
        <f>IF(N7="","",ソート!AH20)</f>
        <v>1</v>
      </c>
      <c r="Q7" s="104">
        <f>IF(ソート!AK20="","",ソート!AK20)</f>
        <v>7</v>
      </c>
      <c r="R7" s="105" t="str">
        <f>IF(Q7="","",ソート!AN20)</f>
        <v>○</v>
      </c>
      <c r="S7" s="105">
        <f>IF(Q7="","",ソート!AO20)</f>
        <v>0</v>
      </c>
      <c r="T7" s="104">
        <f>IF(ソート!AR20="","",ソート!AR20)</f>
        <v>3</v>
      </c>
      <c r="U7" s="105" t="str">
        <f>IF(T7="","",ソート!AU20)</f>
        <v>○</v>
      </c>
      <c r="V7" s="105">
        <f>IF(T7="","",ソート!AV20)</f>
        <v>0</v>
      </c>
      <c r="W7" s="104" t="str">
        <f>IF(ソート!AY20="","",ソート!AY20)</f>
        <v/>
      </c>
      <c r="X7" s="105" t="str">
        <f>IF(W7="","",ソート!BB20)</f>
        <v/>
      </c>
      <c r="Y7" s="106" t="str">
        <f>IF(W7="","",ソート!BC20)</f>
        <v/>
      </c>
      <c r="Z7" s="612" t="e">
        <f>IF(ソート!#REF!="","",ソート!#REF!)</f>
        <v>#REF!</v>
      </c>
      <c r="AA7" s="621" t="e">
        <f>IF(ソート!#REF!="","",ソート!#REF!)</f>
        <v>#REF!</v>
      </c>
      <c r="AB7" s="621" t="e">
        <f>IF(ソート!#REF!="","",ソート!#REF!)</f>
        <v>#REF!</v>
      </c>
      <c r="AC7" s="623" t="e">
        <f>IF(ソート!#REF!="","",ソート!#REF!)</f>
        <v>#REF!</v>
      </c>
      <c r="AD7" s="617" t="e">
        <f>IF(ソート!#REF!="","",ソート!#REF!)</f>
        <v>#REF!</v>
      </c>
    </row>
    <row r="8" spans="1:30" ht="25.5" customHeight="1" x14ac:dyDescent="0.25">
      <c r="A8" s="600" t="str">
        <f>ソート!A25</f>
        <v>星稜中学校</v>
      </c>
      <c r="B8" s="107">
        <f>IF(ソート!B25="","",ソート!B25)</f>
        <v>1</v>
      </c>
      <c r="C8" s="108" t="str">
        <f>IF(B8="","",ソート!E25)</f>
        <v>●</v>
      </c>
      <c r="D8" s="108">
        <f>IF(B8="","",ソート!F25)</f>
        <v>5</v>
      </c>
      <c r="E8" s="109">
        <f>IF(ソート!I25="","",ソート!I25)</f>
        <v>0</v>
      </c>
      <c r="F8" s="108" t="str">
        <f>IF(E8="","",ソート!L25)</f>
        <v>●</v>
      </c>
      <c r="G8" s="108">
        <f>IF(E8="","",ソート!M25)</f>
        <v>5</v>
      </c>
      <c r="H8" s="62"/>
      <c r="I8" s="63"/>
      <c r="J8" s="64"/>
      <c r="K8" s="109">
        <f>IF(ソート!W25="","",ソート!W25)</f>
        <v>1</v>
      </c>
      <c r="L8" s="108" t="str">
        <f>IF(K8="","",ソート!Z25)</f>
        <v>○</v>
      </c>
      <c r="M8" s="108">
        <f>IF(K8="","",ソート!AA25)</f>
        <v>0</v>
      </c>
      <c r="N8" s="109">
        <f>IF(ソート!AD25="","",ソート!AD25)</f>
        <v>1</v>
      </c>
      <c r="O8" s="108" t="str">
        <f>IF(N8="","",ソート!AG25)</f>
        <v>●</v>
      </c>
      <c r="P8" s="108">
        <f>IF(N8="","",ソート!AH25)</f>
        <v>3</v>
      </c>
      <c r="Q8" s="109">
        <f>IF(ソート!AK25="","",ソート!AK25)</f>
        <v>1</v>
      </c>
      <c r="R8" s="108" t="str">
        <f>IF(Q8="","",ソート!AN25)</f>
        <v>○</v>
      </c>
      <c r="S8" s="108">
        <f>IF(Q8="","",ソート!AO25)</f>
        <v>0</v>
      </c>
      <c r="T8" s="109">
        <f>IF(ソート!AR25="","",ソート!AR25)</f>
        <v>2</v>
      </c>
      <c r="U8" s="108" t="str">
        <f>IF(T8="","",ソート!AU25)</f>
        <v>○</v>
      </c>
      <c r="V8" s="108">
        <f>IF(T8="","",ソート!AV25)</f>
        <v>1</v>
      </c>
      <c r="W8" s="109">
        <f>IF(ソート!AY25="","",ソート!AY25)</f>
        <v>9</v>
      </c>
      <c r="X8" s="108" t="str">
        <f>IF(W8="","",ソート!BB25)</f>
        <v>○</v>
      </c>
      <c r="Y8" s="110">
        <f>IF(W8="","",ソート!BC25)</f>
        <v>0</v>
      </c>
      <c r="Z8" s="610">
        <f>IF(ソート!BF25="","",ソート!BF25)</f>
        <v>21</v>
      </c>
      <c r="AA8" s="630">
        <f>IF(ソート!BG25="","",ソート!BG25)</f>
        <v>29</v>
      </c>
      <c r="AB8" s="630">
        <f>IF(ソート!BH25="","",ソート!BH25)</f>
        <v>19</v>
      </c>
      <c r="AC8" s="629">
        <f>IF(ソート!BI25="","",ソート!BI25)</f>
        <v>10</v>
      </c>
      <c r="AD8" s="615">
        <f>IF(ソート!BJ25="","",ソート!BJ25)</f>
        <v>3</v>
      </c>
    </row>
    <row r="9" spans="1:30" ht="25.5" customHeight="1" x14ac:dyDescent="0.25">
      <c r="A9" s="601"/>
      <c r="B9" s="111">
        <f>IF(ソート!B30="","",ソート!B30)</f>
        <v>0</v>
      </c>
      <c r="C9" s="105" t="str">
        <f>IF(B9="","",ソート!E30)</f>
        <v>●</v>
      </c>
      <c r="D9" s="105">
        <f>IF(B9="","",ソート!F30)</f>
        <v>2</v>
      </c>
      <c r="E9" s="104" t="str">
        <f>IF(ソート!I30="","",ソート!I30)</f>
        <v/>
      </c>
      <c r="F9" s="105" t="str">
        <f>IF(E9="","",ソート!L30)</f>
        <v/>
      </c>
      <c r="G9" s="105" t="str">
        <f>IF(E9="","",ソート!M30)</f>
        <v/>
      </c>
      <c r="H9" s="21"/>
      <c r="I9" s="58"/>
      <c r="J9" s="22"/>
      <c r="K9" s="104" t="str">
        <f>IF(ソート!W30="","",ソート!W30)</f>
        <v/>
      </c>
      <c r="L9" s="105" t="str">
        <f>IF(K9="","",ソート!Z30)</f>
        <v/>
      </c>
      <c r="M9" s="105" t="str">
        <f>IF(K9="","",ソート!AA30)</f>
        <v/>
      </c>
      <c r="N9" s="104" t="str">
        <f>IF(ソート!AD30="","",ソート!AD30)</f>
        <v/>
      </c>
      <c r="O9" s="105" t="str">
        <f>IF(N9="","",ソート!AG30)</f>
        <v/>
      </c>
      <c r="P9" s="105" t="str">
        <f>IF(N9="","",ソート!AH30)</f>
        <v/>
      </c>
      <c r="Q9" s="104">
        <f>IF(ソート!AK30="","",ソート!AK30)</f>
        <v>3</v>
      </c>
      <c r="R9" s="105" t="str">
        <f>IF(Q9="","",ソート!AN30)</f>
        <v>○</v>
      </c>
      <c r="S9" s="105">
        <f>IF(Q9="","",ソート!AO30)</f>
        <v>1</v>
      </c>
      <c r="T9" s="104">
        <f>IF(ソート!AR30="","",ソート!AR30)</f>
        <v>3</v>
      </c>
      <c r="U9" s="105" t="str">
        <f>IF(T9="","",ソート!AU30)</f>
        <v>○</v>
      </c>
      <c r="V9" s="105">
        <f>IF(T9="","",ソート!AV30)</f>
        <v>1</v>
      </c>
      <c r="W9" s="104">
        <f>IF(ソート!AY30="","",ソート!AY30)</f>
        <v>8</v>
      </c>
      <c r="X9" s="105" t="str">
        <f>IF(W9="","",ソート!BB30)</f>
        <v>○</v>
      </c>
      <c r="Y9" s="106">
        <f>IF(W9="","",ソート!BC30)</f>
        <v>1</v>
      </c>
      <c r="Z9" s="610" t="e">
        <f>IF(ソート!#REF!="","",ソート!#REF!)</f>
        <v>#REF!</v>
      </c>
      <c r="AA9" s="630" t="e">
        <f>IF(ソート!#REF!="","",ソート!#REF!)</f>
        <v>#REF!</v>
      </c>
      <c r="AB9" s="630" t="e">
        <f>IF(ソート!#REF!="","",ソート!#REF!)</f>
        <v>#REF!</v>
      </c>
      <c r="AC9" s="629" t="e">
        <f>IF(ソート!#REF!="","",ソート!#REF!)</f>
        <v>#REF!</v>
      </c>
      <c r="AD9" s="615" t="e">
        <f>IF(ソート!#REF!="","",ソート!#REF!)</f>
        <v>#REF!</v>
      </c>
    </row>
    <row r="10" spans="1:30" ht="25.5" customHeight="1" x14ac:dyDescent="0.25">
      <c r="A10" s="600" t="str">
        <f>ソート!A35</f>
        <v>セブン能登
1st</v>
      </c>
      <c r="B10" s="107">
        <f>IF(ソート!B35="","",ソート!B35)</f>
        <v>1</v>
      </c>
      <c r="C10" s="108" t="str">
        <f>IF(B10="","",ソート!E35)</f>
        <v>△</v>
      </c>
      <c r="D10" s="108">
        <f>IF(B10="","",ソート!F35)</f>
        <v>1</v>
      </c>
      <c r="E10" s="109">
        <f>IF(ソート!I35="","",ソート!I35)</f>
        <v>1</v>
      </c>
      <c r="F10" s="108" t="str">
        <f>IF(E10="","",ソート!L35)</f>
        <v>△</v>
      </c>
      <c r="G10" s="108">
        <f>IF(E10="","",ソート!M35)</f>
        <v>1</v>
      </c>
      <c r="H10" s="109">
        <f>IF(ソート!P35="","",ソート!P35)</f>
        <v>0</v>
      </c>
      <c r="I10" s="108" t="str">
        <f>IF(H10="","",ソート!S35)</f>
        <v>●</v>
      </c>
      <c r="J10" s="108">
        <f>IF(H10="","",ソート!T35)</f>
        <v>1</v>
      </c>
      <c r="K10" s="62"/>
      <c r="L10" s="63"/>
      <c r="M10" s="64"/>
      <c r="N10" s="109">
        <f>IF(ソート!AD35="","",ソート!AD35)</f>
        <v>1</v>
      </c>
      <c r="O10" s="108" t="str">
        <f>IF(N10="","",ソート!AG35)</f>
        <v>●</v>
      </c>
      <c r="P10" s="108">
        <f>IF(N10="","",ソート!AH35)</f>
        <v>3</v>
      </c>
      <c r="Q10" s="109">
        <f>IF(ソート!AK35="","",ソート!AK35)</f>
        <v>2</v>
      </c>
      <c r="R10" s="108" t="str">
        <f>IF(Q10="","",ソート!AN35)</f>
        <v>○</v>
      </c>
      <c r="S10" s="108">
        <f>IF(Q10="","",ソート!AO35)</f>
        <v>1</v>
      </c>
      <c r="T10" s="109">
        <f>IF(ソート!AR35="","",ソート!AR35)</f>
        <v>2</v>
      </c>
      <c r="U10" s="108" t="str">
        <f>IF(T10="","",ソート!AU35)</f>
        <v>○</v>
      </c>
      <c r="V10" s="108">
        <f>IF(T10="","",ソート!AV35)</f>
        <v>1</v>
      </c>
      <c r="W10" s="109">
        <f>IF(ソート!AY35="","",ソート!AY35)</f>
        <v>5</v>
      </c>
      <c r="X10" s="108" t="str">
        <f>IF(W10="","",ソート!BB35)</f>
        <v>○</v>
      </c>
      <c r="Y10" s="110">
        <f>IF(W10="","",ソート!BC35)</f>
        <v>0</v>
      </c>
      <c r="Z10" s="610">
        <f>IF(ソート!BF35="","",ソート!BF35)</f>
        <v>20</v>
      </c>
      <c r="AA10" s="630">
        <f>IF(ソート!BG35="","",ソート!BG35)</f>
        <v>23</v>
      </c>
      <c r="AB10" s="630">
        <f>IF(ソート!BH35="","",ソート!BH35)</f>
        <v>12</v>
      </c>
      <c r="AC10" s="629">
        <f>IF(ソート!BI35="","",ソート!BI35)</f>
        <v>11</v>
      </c>
      <c r="AD10" s="615">
        <f>IF(ソート!BJ35="","",ソート!BJ35)</f>
        <v>4</v>
      </c>
    </row>
    <row r="11" spans="1:30" ht="25.5" customHeight="1" x14ac:dyDescent="0.25">
      <c r="A11" s="601" t="e">
        <f>ソート!#REF!</f>
        <v>#REF!</v>
      </c>
      <c r="B11" s="111" t="str">
        <f>IF(ソート!B40="","",ソート!B40)</f>
        <v/>
      </c>
      <c r="C11" s="105" t="str">
        <f>IF(B11="","",ソート!E40)</f>
        <v/>
      </c>
      <c r="D11" s="105" t="str">
        <f>IF(B11="","",ソート!F40)</f>
        <v/>
      </c>
      <c r="E11" s="104">
        <f>IF(ソート!I40="","",ソート!I40)</f>
        <v>0</v>
      </c>
      <c r="F11" s="105" t="str">
        <f>IF(E11="","",ソート!L40)</f>
        <v>●</v>
      </c>
      <c r="G11" s="105">
        <f>IF(E11="","",ソート!M40)</f>
        <v>3</v>
      </c>
      <c r="H11" s="104" t="str">
        <f>IF(ソート!P40="","",ソート!P40)</f>
        <v/>
      </c>
      <c r="I11" s="105" t="str">
        <f>IF(H11="","",ソート!S40)</f>
        <v/>
      </c>
      <c r="J11" s="105" t="str">
        <f>IF(H11="","",ソート!T40)</f>
        <v/>
      </c>
      <c r="K11" s="21"/>
      <c r="L11" s="58"/>
      <c r="M11" s="22"/>
      <c r="N11" s="104">
        <f>IF(ソート!AD40="","",ソート!AD40)</f>
        <v>4</v>
      </c>
      <c r="O11" s="105" t="str">
        <f>IF(N11="","",ソート!AG40)</f>
        <v>○</v>
      </c>
      <c r="P11" s="105">
        <f>IF(N11="","",ソート!AH40)</f>
        <v>1</v>
      </c>
      <c r="Q11" s="104">
        <f>IF(ソート!AK40="","",ソート!AK40)</f>
        <v>2</v>
      </c>
      <c r="R11" s="105" t="str">
        <f>IF(Q11="","",ソート!AN40)</f>
        <v>○</v>
      </c>
      <c r="S11" s="105">
        <f>IF(Q11="","",ソート!AO40)</f>
        <v>0</v>
      </c>
      <c r="T11" s="104" t="str">
        <f>IF(ソート!AR40="","",ソート!AR40)</f>
        <v/>
      </c>
      <c r="U11" s="105" t="str">
        <f>IF(T11="","",ソート!AU40)</f>
        <v/>
      </c>
      <c r="V11" s="105" t="str">
        <f>IF(T11="","",ソート!AV40)</f>
        <v/>
      </c>
      <c r="W11" s="104">
        <f>IF(ソート!AY40="","",ソート!AY40)</f>
        <v>5</v>
      </c>
      <c r="X11" s="105" t="str">
        <f>IF(W11="","",ソート!BB40)</f>
        <v>○</v>
      </c>
      <c r="Y11" s="106">
        <f>IF(W11="","",ソート!BC40)</f>
        <v>0</v>
      </c>
      <c r="Z11" s="610"/>
      <c r="AA11" s="630" t="e">
        <f>IF(ソート!#REF!="","",ソート!#REF!)</f>
        <v>#REF!</v>
      </c>
      <c r="AB11" s="630" t="e">
        <f>IF(ソート!#REF!="","",ソート!#REF!)</f>
        <v>#REF!</v>
      </c>
      <c r="AC11" s="629" t="e">
        <f>IF(ソート!#REF!="","",ソート!#REF!)</f>
        <v>#REF!</v>
      </c>
      <c r="AD11" s="615"/>
    </row>
    <row r="12" spans="1:30" ht="25.5" customHeight="1" x14ac:dyDescent="0.25">
      <c r="A12" s="600" t="str">
        <f>ソート!A45</f>
        <v>ヘミニス
金沢FC
1st</v>
      </c>
      <c r="B12" s="107">
        <f>IF(ソート!B45="","",ソート!B45)</f>
        <v>3</v>
      </c>
      <c r="C12" s="108" t="str">
        <f>IF(B12="","",ソート!E45)</f>
        <v>△</v>
      </c>
      <c r="D12" s="108">
        <f>IF(B12="","",ソート!F45)</f>
        <v>3</v>
      </c>
      <c r="E12" s="109">
        <f>IF(ソート!I45="","",ソート!I45)</f>
        <v>0</v>
      </c>
      <c r="F12" s="108" t="str">
        <f>IF(E12="","",ソート!L45)</f>
        <v>●</v>
      </c>
      <c r="G12" s="108">
        <f>IF(E12="","",ソート!M45)</f>
        <v>1</v>
      </c>
      <c r="H12" s="109">
        <f>IF(ソート!P45="","",ソート!P45)</f>
        <v>3</v>
      </c>
      <c r="I12" s="108" t="str">
        <f>IF(H12="","",ソート!S45)</f>
        <v>○</v>
      </c>
      <c r="J12" s="108">
        <f>IF(H12="","",ソート!T45)</f>
        <v>1</v>
      </c>
      <c r="K12" s="109">
        <f>IF(ソート!W45="","",ソート!W45)</f>
        <v>3</v>
      </c>
      <c r="L12" s="108" t="str">
        <f>IF(K12="","",ソート!Z45)</f>
        <v>○</v>
      </c>
      <c r="M12" s="108">
        <f>IF(K12="","",ソート!AA45)</f>
        <v>1</v>
      </c>
      <c r="N12" s="62"/>
      <c r="O12" s="63"/>
      <c r="P12" s="64"/>
      <c r="Q12" s="109">
        <f>IF(ソート!AK45="","",ソート!AK45)</f>
        <v>3</v>
      </c>
      <c r="R12" s="108" t="str">
        <f>IF(Q12="","",ソート!AN45)</f>
        <v>○</v>
      </c>
      <c r="S12" s="108">
        <f>IF(Q12="","",ソート!AO45)</f>
        <v>0</v>
      </c>
      <c r="T12" s="109">
        <f>IF(ソート!AR45="","",ソート!AR45)</f>
        <v>1</v>
      </c>
      <c r="U12" s="108" t="str">
        <f>IF(T12="","",ソート!AU45)</f>
        <v>○</v>
      </c>
      <c r="V12" s="108">
        <f>IF(T12="","",ソート!AV45)</f>
        <v>0</v>
      </c>
      <c r="W12" s="109">
        <f>IF(ソート!AY45="","",ソート!AY45)</f>
        <v>3</v>
      </c>
      <c r="X12" s="108" t="str">
        <f>IF(W12="","",ソート!BB45)</f>
        <v>○</v>
      </c>
      <c r="Y12" s="110">
        <f>IF(W12="","",ソート!BC45)</f>
        <v>0</v>
      </c>
      <c r="Z12" s="611">
        <f>IF(ソート!BF45="","",ソート!BF45)</f>
        <v>19</v>
      </c>
      <c r="AA12" s="620">
        <f>IF(ソート!BG45="","",ソート!BG45)</f>
        <v>22</v>
      </c>
      <c r="AB12" s="620">
        <f>IF(ソート!BH45="","",ソート!BH45)</f>
        <v>23</v>
      </c>
      <c r="AC12" s="622">
        <f>IF(ソート!BI45="","",ソート!BI45)</f>
        <v>-1</v>
      </c>
      <c r="AD12" s="616">
        <f>IF(ソート!BJ45="","",ソート!BJ45)</f>
        <v>5</v>
      </c>
    </row>
    <row r="13" spans="1:30" ht="25.5" customHeight="1" x14ac:dyDescent="0.25">
      <c r="A13" s="601" t="e">
        <f>ソート!#REF!</f>
        <v>#REF!</v>
      </c>
      <c r="B13" s="111">
        <f>IF(ソート!B50="","",ソート!B50)</f>
        <v>0</v>
      </c>
      <c r="C13" s="105" t="str">
        <f>IF(B13="","",ソート!E50)</f>
        <v>●</v>
      </c>
      <c r="D13" s="105">
        <f>IF(B13="","",ソート!F50)</f>
        <v>9</v>
      </c>
      <c r="E13" s="104">
        <f>IF(ソート!I50="","",ソート!I50)</f>
        <v>1</v>
      </c>
      <c r="F13" s="105" t="str">
        <f>IF(E13="","",ソート!L50)</f>
        <v>●</v>
      </c>
      <c r="G13" s="105">
        <f>IF(E13="","",ソート!M50)</f>
        <v>3</v>
      </c>
      <c r="H13" s="104" t="str">
        <f>IF(ソート!P50="","",ソート!P50)</f>
        <v/>
      </c>
      <c r="I13" s="105" t="str">
        <f>IF(H13="","",ソート!S50)</f>
        <v/>
      </c>
      <c r="J13" s="105" t="str">
        <f>IF(H13="","",ソート!T50)</f>
        <v/>
      </c>
      <c r="K13" s="104">
        <f>IF(ソート!W50="","",ソート!W50)</f>
        <v>1</v>
      </c>
      <c r="L13" s="105" t="str">
        <f>IF(K13="","",ソート!Z50)</f>
        <v>●</v>
      </c>
      <c r="M13" s="105">
        <f>IF(K13="","",ソート!AA50)</f>
        <v>4</v>
      </c>
      <c r="N13" s="21"/>
      <c r="O13" s="58"/>
      <c r="P13" s="22"/>
      <c r="Q13" s="104" t="str">
        <f>IF(ソート!AK50="","",ソート!AK50)</f>
        <v/>
      </c>
      <c r="R13" s="105" t="str">
        <f>IF(Q13="","",ソート!AN50)</f>
        <v/>
      </c>
      <c r="S13" s="105" t="str">
        <f>IF(Q13="","",ソート!AO50)</f>
        <v/>
      </c>
      <c r="T13" s="104">
        <f>IF(ソート!AR50="","",ソート!AR50)</f>
        <v>4</v>
      </c>
      <c r="U13" s="105" t="str">
        <f>IF(T13="","",ソート!AU50)</f>
        <v>○</v>
      </c>
      <c r="V13" s="105">
        <f>IF(T13="","",ソート!AV50)</f>
        <v>1</v>
      </c>
      <c r="W13" s="104" t="str">
        <f>IF(ソート!AY50="","",ソート!AY50)</f>
        <v/>
      </c>
      <c r="X13" s="105" t="str">
        <f>IF(W13="","",ソート!BB50)</f>
        <v/>
      </c>
      <c r="Y13" s="106" t="str">
        <f>IF(W13="","",ソート!BC50)</f>
        <v/>
      </c>
      <c r="Z13" s="612"/>
      <c r="AA13" s="621" t="e">
        <f>IF(ソート!#REF!="","",ソート!#REF!)</f>
        <v>#REF!</v>
      </c>
      <c r="AB13" s="621" t="e">
        <f>IF(ソート!#REF!="","",ソート!#REF!)</f>
        <v>#REF!</v>
      </c>
      <c r="AC13" s="623" t="e">
        <f>IF(ソート!#REF!="","",ソート!#REF!)</f>
        <v>#REF!</v>
      </c>
      <c r="AD13" s="617"/>
    </row>
    <row r="14" spans="1:30" ht="25.5" customHeight="1" x14ac:dyDescent="0.25">
      <c r="A14" s="600" t="str">
        <f>ソート!A55</f>
        <v>Riopedra
加賀FC</v>
      </c>
      <c r="B14" s="107">
        <f>IF(ソート!B55="","",ソート!B55)</f>
        <v>0</v>
      </c>
      <c r="C14" s="108" t="str">
        <f>IF(B14="","",ソート!E55)</f>
        <v>●</v>
      </c>
      <c r="D14" s="108">
        <f>IF(B14="","",ソート!F55)</f>
        <v>3</v>
      </c>
      <c r="E14" s="109">
        <f>IF(ソート!I55="","",ソート!I55)</f>
        <v>0</v>
      </c>
      <c r="F14" s="108" t="str">
        <f>IF(E14="","",ソート!L55)</f>
        <v>●</v>
      </c>
      <c r="G14" s="108">
        <f>IF(E14="","",ソート!M55)</f>
        <v>7</v>
      </c>
      <c r="H14" s="109">
        <f>IF(ソート!P55="","",ソート!P55)</f>
        <v>0</v>
      </c>
      <c r="I14" s="108" t="str">
        <f>IF(H14="","",ソート!S55)</f>
        <v>●</v>
      </c>
      <c r="J14" s="108">
        <f>IF(H14="","",ソート!T55)</f>
        <v>1</v>
      </c>
      <c r="K14" s="109">
        <f>IF(ソート!W55="","",ソート!W55)</f>
        <v>1</v>
      </c>
      <c r="L14" s="108" t="str">
        <f>IF(K14="","",ソート!Z55)</f>
        <v>●</v>
      </c>
      <c r="M14" s="108">
        <f>IF(K14="","",ソート!AA55)</f>
        <v>2</v>
      </c>
      <c r="N14" s="109">
        <f>IF(ソート!AD55="","",ソート!AD55)</f>
        <v>0</v>
      </c>
      <c r="O14" s="108" t="str">
        <f>IF(N14="","",ソート!AG55)</f>
        <v>●</v>
      </c>
      <c r="P14" s="108">
        <f>IF(N14="","",ソート!AH55)</f>
        <v>3</v>
      </c>
      <c r="Q14" s="62"/>
      <c r="R14" s="63"/>
      <c r="S14" s="64"/>
      <c r="T14" s="109">
        <f>IF(ソート!AR55="","",ソート!AR55)</f>
        <v>1</v>
      </c>
      <c r="U14" s="108" t="str">
        <f>IF(T14="","",ソート!AU55)</f>
        <v>○</v>
      </c>
      <c r="V14" s="108">
        <f>IF(T14="","",ソート!AV55)</f>
        <v>0</v>
      </c>
      <c r="W14" s="109">
        <f>IF(ソート!AY55="","",ソート!AY55)</f>
        <v>3</v>
      </c>
      <c r="X14" s="108" t="str">
        <f>IF(W14="","",ソート!BB55)</f>
        <v>○</v>
      </c>
      <c r="Y14" s="110">
        <f>IF(W14="","",ソート!BC55)</f>
        <v>1</v>
      </c>
      <c r="Z14" s="610">
        <f>IF(ソート!BF55="","",ソート!BF55)</f>
        <v>7</v>
      </c>
      <c r="AA14" s="630">
        <f>IF(ソート!BG55="","",ソート!BG55)</f>
        <v>7</v>
      </c>
      <c r="AB14" s="630">
        <f>IF(ソート!BH55="","",ソート!BH55)</f>
        <v>30</v>
      </c>
      <c r="AC14" s="629">
        <f>IF(ソート!BI55="","",ソート!BI55)</f>
        <v>-23</v>
      </c>
      <c r="AD14" s="615">
        <f>IF(ソート!BJ55="","",ソート!BJ55)</f>
        <v>6</v>
      </c>
    </row>
    <row r="15" spans="1:30" ht="25.5" customHeight="1" x14ac:dyDescent="0.25">
      <c r="A15" s="601" t="e">
        <f>ソート!#REF!</f>
        <v>#REF!</v>
      </c>
      <c r="B15" s="111" t="str">
        <f>IF(ソート!B60="","",ソート!B60)</f>
        <v/>
      </c>
      <c r="C15" s="105" t="str">
        <f>IF(B15="","",ソート!E60)</f>
        <v/>
      </c>
      <c r="D15" s="105" t="str">
        <f>IF(B15="","",ソート!F60)</f>
        <v/>
      </c>
      <c r="E15" s="104">
        <f>IF(ソート!I60="","",ソート!I60)</f>
        <v>0</v>
      </c>
      <c r="F15" s="105" t="str">
        <f>IF(E15="","",ソート!L60)</f>
        <v>●</v>
      </c>
      <c r="G15" s="105">
        <f>IF(E15="","",ソート!M60)</f>
        <v>7</v>
      </c>
      <c r="H15" s="104">
        <f>IF(ソート!P60="","",ソート!P60)</f>
        <v>1</v>
      </c>
      <c r="I15" s="105" t="str">
        <f>IF(H15="","",ソート!S60)</f>
        <v>●</v>
      </c>
      <c r="J15" s="105">
        <f>IF(H15="","",ソート!T60)</f>
        <v>3</v>
      </c>
      <c r="K15" s="104">
        <f>IF(ソート!W60="","",ソート!W60)</f>
        <v>0</v>
      </c>
      <c r="L15" s="105" t="str">
        <f>IF(K15="","",ソート!Z60)</f>
        <v>●</v>
      </c>
      <c r="M15" s="105">
        <f>IF(K15="","",ソート!AA60)</f>
        <v>2</v>
      </c>
      <c r="N15" s="104" t="str">
        <f>IF(ソート!AD60="","",ソート!AD60)</f>
        <v/>
      </c>
      <c r="O15" s="105" t="str">
        <f>IF(N15="","",ソート!AG60)</f>
        <v/>
      </c>
      <c r="P15" s="105" t="str">
        <f>IF(N15="","",ソート!AH60)</f>
        <v/>
      </c>
      <c r="Q15" s="21"/>
      <c r="R15" s="58"/>
      <c r="S15" s="22"/>
      <c r="T15" s="104" t="str">
        <f>IF(ソート!AR60="","",ソート!AR60)</f>
        <v/>
      </c>
      <c r="U15" s="105" t="str">
        <f>IF(T15="","",ソート!AU60)</f>
        <v/>
      </c>
      <c r="V15" s="105" t="str">
        <f>IF(T15="","",ソート!AV60)</f>
        <v/>
      </c>
      <c r="W15" s="104">
        <f>IF(ソート!AY60="","",ソート!AY60)</f>
        <v>1</v>
      </c>
      <c r="X15" s="105" t="str">
        <f>IF(W15="","",ソート!BB60)</f>
        <v>△</v>
      </c>
      <c r="Y15" s="106">
        <f>IF(W15="","",ソート!BC60)</f>
        <v>1</v>
      </c>
      <c r="Z15" s="610"/>
      <c r="AA15" s="630" t="e">
        <f>IF(ソート!#REF!="","",ソート!#REF!)</f>
        <v>#REF!</v>
      </c>
      <c r="AB15" s="630" t="e">
        <f>IF(ソート!#REF!="","",ソート!#REF!)</f>
        <v>#REF!</v>
      </c>
      <c r="AC15" s="629" t="e">
        <f>IF(ソート!#REF!="","",ソート!#REF!)</f>
        <v>#REF!</v>
      </c>
      <c r="AD15" s="615"/>
    </row>
    <row r="16" spans="1:30" ht="25.5" customHeight="1" x14ac:dyDescent="0.25">
      <c r="A16" s="600" t="str">
        <f>ソート!A65</f>
        <v>FC小松
1st</v>
      </c>
      <c r="B16" s="107">
        <f>IF(ソート!B65="","",ソート!B65)</f>
        <v>0</v>
      </c>
      <c r="C16" s="108" t="str">
        <f>IF(B16="","",ソート!E65)</f>
        <v>●</v>
      </c>
      <c r="D16" s="108">
        <f>IF(B16="","",ソート!F65)</f>
        <v>1</v>
      </c>
      <c r="E16" s="109">
        <f>IF(ソート!I65="","",ソート!I65)</f>
        <v>0</v>
      </c>
      <c r="F16" s="108" t="str">
        <f>IF(E16="","",ソート!L65)</f>
        <v>●</v>
      </c>
      <c r="G16" s="108">
        <f>IF(E16="","",ソート!M65)</f>
        <v>10</v>
      </c>
      <c r="H16" s="109">
        <f>IF(ソート!P65="","",ソート!P65)</f>
        <v>1</v>
      </c>
      <c r="I16" s="108" t="str">
        <f>IF(H16="","",ソート!S65)</f>
        <v>●</v>
      </c>
      <c r="J16" s="108">
        <f>IF(H16="","",ソート!T65)</f>
        <v>2</v>
      </c>
      <c r="K16" s="109">
        <f>IF(ソート!W65="","",ソート!W65)</f>
        <v>1</v>
      </c>
      <c r="L16" s="108" t="str">
        <f>IF(K16="","",ソート!Z65)</f>
        <v>●</v>
      </c>
      <c r="M16" s="108">
        <f>IF(K16="","",ソート!AA65)</f>
        <v>2</v>
      </c>
      <c r="N16" s="109">
        <f>IF(ソート!AD65="","",ソート!AD65)</f>
        <v>0</v>
      </c>
      <c r="O16" s="108" t="str">
        <f>IF(N16="","",ソート!AG65)</f>
        <v>●</v>
      </c>
      <c r="P16" s="108">
        <f>IF(N16="","",ソート!AH65)</f>
        <v>1</v>
      </c>
      <c r="Q16" s="109">
        <f>IF(ソート!AK65="","",ソート!AK65)</f>
        <v>0</v>
      </c>
      <c r="R16" s="108" t="str">
        <f>IF(Q16="","",ソート!AN65)</f>
        <v>●</v>
      </c>
      <c r="S16" s="108">
        <f>IF(Q16="","",ソート!AO65)</f>
        <v>1</v>
      </c>
      <c r="T16" s="62"/>
      <c r="U16" s="63"/>
      <c r="V16" s="64"/>
      <c r="W16" s="109">
        <f>IF(ソート!AY65="","",ソート!AY65)</f>
        <v>6</v>
      </c>
      <c r="X16" s="108" t="str">
        <f>IF(W16="","",ソート!BB65)</f>
        <v>○</v>
      </c>
      <c r="Y16" s="110">
        <f>IF(W16="","",ソート!BC65)</f>
        <v>0</v>
      </c>
      <c r="Z16" s="610">
        <f>IF(ソート!BF65="","",ソート!BF65)</f>
        <v>3</v>
      </c>
      <c r="AA16" s="630">
        <f>IF(ソート!BG65="","",ソート!BG65)</f>
        <v>10</v>
      </c>
      <c r="AB16" s="630">
        <f>IF(ソート!BH65="","",ソート!BH65)</f>
        <v>31</v>
      </c>
      <c r="AC16" s="629">
        <f>IF(ソート!BI65="","",ソート!BI65)</f>
        <v>-21</v>
      </c>
      <c r="AD16" s="615">
        <f>IF(ソート!BJ65="","",ソート!BJ65)</f>
        <v>7</v>
      </c>
    </row>
    <row r="17" spans="1:30" ht="25.5" customHeight="1" x14ac:dyDescent="0.25">
      <c r="A17" s="601" t="e">
        <f>ソート!#REF!</f>
        <v>#REF!</v>
      </c>
      <c r="B17" s="111">
        <f>IF(ソート!B70="","",ソート!B70)</f>
        <v>0</v>
      </c>
      <c r="C17" s="105" t="str">
        <f>IF(B17="","",ソート!E70)</f>
        <v>●</v>
      </c>
      <c r="D17" s="105">
        <f>IF(B17="","",ソート!F70)</f>
        <v>4</v>
      </c>
      <c r="E17" s="104">
        <f>IF(ソート!I70="","",ソート!I70)</f>
        <v>0</v>
      </c>
      <c r="F17" s="105" t="str">
        <f>IF(E17="","",ソート!L70)</f>
        <v>●</v>
      </c>
      <c r="G17" s="105">
        <f>IF(E17="","",ソート!M70)</f>
        <v>3</v>
      </c>
      <c r="H17" s="104">
        <f>IF(ソート!P70="","",ソート!P70)</f>
        <v>1</v>
      </c>
      <c r="I17" s="105" t="str">
        <f>IF(H17="","",ソート!S70)</f>
        <v>●</v>
      </c>
      <c r="J17" s="105">
        <f>IF(H17="","",ソート!T70)</f>
        <v>3</v>
      </c>
      <c r="K17" s="104" t="str">
        <f>IF(ソート!W70="","",ソート!W70)</f>
        <v/>
      </c>
      <c r="L17" s="105" t="str">
        <f>IF(K17="","",ソート!Z70)</f>
        <v/>
      </c>
      <c r="M17" s="105" t="str">
        <f>IF(K17="","",ソート!AA70)</f>
        <v/>
      </c>
      <c r="N17" s="104">
        <f>IF(ソート!AD70="","",ソート!AD70)</f>
        <v>1</v>
      </c>
      <c r="O17" s="105" t="str">
        <f>IF(N17="","",ソート!AG70)</f>
        <v>●</v>
      </c>
      <c r="P17" s="105">
        <f>IF(N17="","",ソート!AH70)</f>
        <v>4</v>
      </c>
      <c r="Q17" s="104" t="str">
        <f>IF(ソート!AK70="","",ソート!AK70)</f>
        <v/>
      </c>
      <c r="R17" s="105" t="str">
        <f>IF(Q17="","",ソート!AN70)</f>
        <v/>
      </c>
      <c r="S17" s="105" t="str">
        <f>IF(Q17="","",ソート!AO70)</f>
        <v/>
      </c>
      <c r="T17" s="21"/>
      <c r="U17" s="58"/>
      <c r="V17" s="22"/>
      <c r="W17" s="104" t="str">
        <f>IF(ソート!AY70="","",ソート!AY70)</f>
        <v/>
      </c>
      <c r="X17" s="105" t="str">
        <f>IF(W17="","",ソート!BB70)</f>
        <v/>
      </c>
      <c r="Y17" s="106" t="str">
        <f>IF(W17="","",ソート!BC70)</f>
        <v/>
      </c>
      <c r="Z17" s="610"/>
      <c r="AA17" s="630" t="e">
        <f>IF(ソート!#REF!="","",ソート!#REF!)</f>
        <v>#REF!</v>
      </c>
      <c r="AB17" s="630" t="e">
        <f>IF(ソート!#REF!="","",ソート!#REF!)</f>
        <v>#REF!</v>
      </c>
      <c r="AC17" s="629" t="e">
        <f>IF(ソート!#REF!="","",ソート!#REF!)</f>
        <v>#REF!</v>
      </c>
      <c r="AD17" s="615"/>
    </row>
    <row r="18" spans="1:30" ht="25.5" customHeight="1" x14ac:dyDescent="0.25">
      <c r="A18" s="600" t="str">
        <f>ソート!A75</f>
        <v>テイヘンズ
FC　1st</v>
      </c>
      <c r="B18" s="395">
        <f>IF(ソート!B75="","",ソート!B75)</f>
        <v>0</v>
      </c>
      <c r="C18" s="63" t="str">
        <f>IF(B18="","",ソート!E75)</f>
        <v>●</v>
      </c>
      <c r="D18" s="63">
        <f>IF(B18="","",ソート!F75)</f>
        <v>10</v>
      </c>
      <c r="E18" s="62">
        <f>IF(ソート!I75="","",ソート!I75)</f>
        <v>1</v>
      </c>
      <c r="F18" s="63" t="str">
        <f>IF(E18="","",ソート!L75)</f>
        <v>●</v>
      </c>
      <c r="G18" s="63">
        <f>IF(E18="","",ソート!M75)</f>
        <v>8</v>
      </c>
      <c r="H18" s="62">
        <f>IF(ソート!P75="","",ソート!P75)</f>
        <v>0</v>
      </c>
      <c r="I18" s="63" t="str">
        <f>IF(H18="","",ソート!S75)</f>
        <v>●</v>
      </c>
      <c r="J18" s="63">
        <f>IF(H18="","",ソート!T75)</f>
        <v>9</v>
      </c>
      <c r="K18" s="62">
        <f>IF(ソート!W75="","",ソート!W75)</f>
        <v>0</v>
      </c>
      <c r="L18" s="63" t="str">
        <f>IF(K18="","",ソート!Z75)</f>
        <v>●</v>
      </c>
      <c r="M18" s="63">
        <f>IF(K18="","",ソート!AA75)</f>
        <v>5</v>
      </c>
      <c r="N18" s="62">
        <f>IF(ソート!AD75="","",ソート!AD75)</f>
        <v>0</v>
      </c>
      <c r="O18" s="63" t="str">
        <f>IF(N18="","",ソート!AG75)</f>
        <v>●</v>
      </c>
      <c r="P18" s="63">
        <f>IF(N18="","",ソート!AH75)</f>
        <v>3</v>
      </c>
      <c r="Q18" s="62">
        <f>IF(ソート!AK75="","",ソート!AK75)</f>
        <v>1</v>
      </c>
      <c r="R18" s="63" t="str">
        <f>IF(Q18="","",ソート!AN75)</f>
        <v>●</v>
      </c>
      <c r="S18" s="63">
        <f>IF(Q18="","",ソート!AO75)</f>
        <v>3</v>
      </c>
      <c r="T18" s="62">
        <f>IF(ソート!AR75="","",ソート!AR75)</f>
        <v>0</v>
      </c>
      <c r="U18" s="63" t="str">
        <f>IF(T18="","",ソート!AU75)</f>
        <v>●</v>
      </c>
      <c r="V18" s="63">
        <f>IF(T18="","",ソート!AV75)</f>
        <v>6</v>
      </c>
      <c r="W18" s="62"/>
      <c r="X18" s="63"/>
      <c r="Y18" s="64"/>
      <c r="Z18" s="608">
        <f>IF(ソート!BF75="","",ソート!BF75)</f>
        <v>1</v>
      </c>
      <c r="AA18" s="620">
        <f>IF(ソート!BG75="","",ソート!BG75)</f>
        <v>4</v>
      </c>
      <c r="AB18" s="620">
        <f>IF(ソート!BH75="","",ソート!BH75)</f>
        <v>74</v>
      </c>
      <c r="AC18" s="622">
        <f>IF(ソート!BI75="","",ソート!BI75)</f>
        <v>-70</v>
      </c>
      <c r="AD18" s="616">
        <f>IF(ソート!BJ75="","",ソート!BJ75)</f>
        <v>8</v>
      </c>
    </row>
    <row r="19" spans="1:30" ht="25.5" customHeight="1" thickBot="1" x14ac:dyDescent="0.3">
      <c r="A19" s="601"/>
      <c r="B19" s="400">
        <f>IF(ソート!B80="","",ソート!B80)</f>
        <v>0</v>
      </c>
      <c r="C19" s="401" t="str">
        <f>IF(B19="","",ソート!E80)</f>
        <v>●</v>
      </c>
      <c r="D19" s="401">
        <f>IF(B19="","",ソート!F80)</f>
        <v>16</v>
      </c>
      <c r="E19" s="402" t="str">
        <f>IF(ソート!I80="","",ソート!I80)</f>
        <v/>
      </c>
      <c r="F19" s="401" t="str">
        <f>IF(E19="","",ソート!L80)</f>
        <v/>
      </c>
      <c r="G19" s="401" t="str">
        <f>IF(E19="","",ソート!M80)</f>
        <v/>
      </c>
      <c r="H19" s="402">
        <f>IF(ソート!P80="","",ソート!P80)</f>
        <v>1</v>
      </c>
      <c r="I19" s="401" t="str">
        <f>IF(H19="","",ソート!S80)</f>
        <v>●</v>
      </c>
      <c r="J19" s="401">
        <f>IF(H19="","",ソート!T80)</f>
        <v>8</v>
      </c>
      <c r="K19" s="402">
        <f>IF(ソート!W80="","",ソート!W80)</f>
        <v>0</v>
      </c>
      <c r="L19" s="401" t="str">
        <f>IF(K19="","",ソート!Z80)</f>
        <v>●</v>
      </c>
      <c r="M19" s="401">
        <f>IF(K19="","",ソート!AA80)</f>
        <v>5</v>
      </c>
      <c r="N19" s="402" t="str">
        <f>IF(ソート!AD80="","",ソート!AD80)</f>
        <v/>
      </c>
      <c r="O19" s="401" t="str">
        <f>IF(N19="","",ソート!AG80)</f>
        <v/>
      </c>
      <c r="P19" s="401" t="str">
        <f>IF(N19="","",ソート!AH80)</f>
        <v/>
      </c>
      <c r="Q19" s="402">
        <f>IF(ソート!AK80="","",ソート!AK80)</f>
        <v>1</v>
      </c>
      <c r="R19" s="401" t="str">
        <f>IF(Q19="","",ソート!AN80)</f>
        <v>△</v>
      </c>
      <c r="S19" s="401">
        <f>IF(Q19="","",ソート!AO80)</f>
        <v>1</v>
      </c>
      <c r="T19" s="402" t="str">
        <f>IF(ソート!AR80="","",ソート!AR80)</f>
        <v/>
      </c>
      <c r="U19" s="401" t="str">
        <f>IF(T19="","",ソート!AU80)</f>
        <v/>
      </c>
      <c r="V19" s="403" t="str">
        <f>IF(T19="","",ソート!AV80)</f>
        <v/>
      </c>
      <c r="W19" s="397"/>
      <c r="X19" s="398"/>
      <c r="Y19" s="399"/>
      <c r="Z19" s="609"/>
      <c r="AA19" s="632"/>
      <c r="AB19" s="632"/>
      <c r="AC19" s="633"/>
      <c r="AD19" s="631"/>
    </row>
    <row r="20" spans="1:30" ht="16.149999999999999" x14ac:dyDescent="0.25">
      <c r="A20" s="66"/>
      <c r="B20" s="67" t="str">
        <f>IF(ソート!B85="","",ソート!B85)</f>
        <v/>
      </c>
      <c r="C20" s="67" t="str">
        <f>IF(ソート!E85="","",ソート!E85)</f>
        <v/>
      </c>
      <c r="D20" s="67" t="str">
        <f>IF(ソート!F85="","",ソート!F85)</f>
        <v/>
      </c>
      <c r="E20" s="67" t="str">
        <f>IF(ソート!I85="","",ソート!I85)</f>
        <v/>
      </c>
      <c r="F20" s="67" t="str">
        <f>IF(ソート!L85="","",ソート!L85)</f>
        <v/>
      </c>
      <c r="G20" s="67" t="str">
        <f>IF(ソート!M85="","",ソート!M85)</f>
        <v/>
      </c>
      <c r="H20" s="67" t="str">
        <f>IF(ソート!P85="","",ソート!P85)</f>
        <v/>
      </c>
      <c r="I20" s="67" t="str">
        <f>IF(ソート!S85="","",ソート!S85)</f>
        <v/>
      </c>
      <c r="J20" s="67" t="str">
        <f>IF(ソート!T85="","",ソート!T85)</f>
        <v/>
      </c>
      <c r="K20" s="67" t="str">
        <f>IF(ソート!W85="","",ソート!W85)</f>
        <v/>
      </c>
      <c r="L20" s="67" t="str">
        <f>IF(ソート!Z85="","",ソート!Z85)</f>
        <v/>
      </c>
      <c r="M20" s="67" t="str">
        <f>IF(ソート!AA85="","",ソート!AA85)</f>
        <v/>
      </c>
      <c r="N20" s="67" t="str">
        <f>IF(ソート!AD85="","",ソート!AD85)</f>
        <v/>
      </c>
      <c r="O20" s="67" t="str">
        <f>IF(ソート!AG85="","",ソート!AG85)</f>
        <v/>
      </c>
      <c r="P20" s="67" t="str">
        <f>IF(ソート!AH85="","",ソート!AH85)</f>
        <v/>
      </c>
      <c r="Q20" s="67" t="str">
        <f>IF(ソート!AK85="","",ソート!AK85)</f>
        <v/>
      </c>
      <c r="R20" s="67" t="str">
        <f>IF(ソート!AN85="","",ソート!AN85)</f>
        <v/>
      </c>
      <c r="S20" s="67" t="str">
        <f>IF(ソート!AO85="","",ソート!AO85)</f>
        <v/>
      </c>
      <c r="T20" s="67" t="str">
        <f>IF(ソート!AR85="","",ソート!AR85)</f>
        <v/>
      </c>
      <c r="U20" s="67" t="str">
        <f>IF(ソート!AU85="","",ソート!AU85)</f>
        <v/>
      </c>
      <c r="V20" s="67" t="str">
        <f>IF(ソート!AV85="","",ソート!AV85)</f>
        <v/>
      </c>
      <c r="W20" s="67" t="str">
        <f>IF(ソート!AY85="","",ソート!AY85)</f>
        <v/>
      </c>
      <c r="X20" s="67" t="str">
        <f>IF(ソート!BB85="","",ソート!BB85)</f>
        <v/>
      </c>
      <c r="Y20" s="67" t="str">
        <f>IF(ソート!BC85="","",ソート!BC85)</f>
        <v/>
      </c>
      <c r="Z20" s="67" t="str">
        <f>IF(ソート!BF85="","",ソート!BF85)</f>
        <v/>
      </c>
      <c r="AA20" s="67">
        <f>IF(ソート!BG85="","",ソート!BG85)</f>
        <v>199</v>
      </c>
      <c r="AB20" s="67">
        <f>IF(ソート!BH85="","",ソート!BH85)</f>
        <v>199</v>
      </c>
      <c r="AC20" s="67">
        <f>IF(ソート!BI85="","",ソート!BI85)</f>
        <v>0</v>
      </c>
      <c r="AD20" s="67" t="str">
        <f>IF(ソート!BJ85="","",ソート!BJ85)</f>
        <v/>
      </c>
    </row>
  </sheetData>
  <mergeCells count="58">
    <mergeCell ref="AD18:AD19"/>
    <mergeCell ref="AD14:AD15"/>
    <mergeCell ref="AC16:AC17"/>
    <mergeCell ref="AC12:AC13"/>
    <mergeCell ref="AA18:AA19"/>
    <mergeCell ref="AB16:AB17"/>
    <mergeCell ref="AB14:AB15"/>
    <mergeCell ref="AA14:AA15"/>
    <mergeCell ref="AA16:AA17"/>
    <mergeCell ref="AD12:AD13"/>
    <mergeCell ref="AC18:AC19"/>
    <mergeCell ref="AC14:AC15"/>
    <mergeCell ref="AB18:AB19"/>
    <mergeCell ref="AD16:AD17"/>
    <mergeCell ref="AA2:AC2"/>
    <mergeCell ref="AA4:AA5"/>
    <mergeCell ref="AB4:AB5"/>
    <mergeCell ref="AC4:AC5"/>
    <mergeCell ref="AC10:AC11"/>
    <mergeCell ref="AC8:AC9"/>
    <mergeCell ref="AA8:AA9"/>
    <mergeCell ref="AB8:AB9"/>
    <mergeCell ref="AB10:AB11"/>
    <mergeCell ref="AA10:AA11"/>
    <mergeCell ref="AD4:AD5"/>
    <mergeCell ref="AD8:AD9"/>
    <mergeCell ref="AD10:AD11"/>
    <mergeCell ref="AD6:AD7"/>
    <mergeCell ref="Z12:Z13"/>
    <mergeCell ref="Z4:Z5"/>
    <mergeCell ref="AA6:AA7"/>
    <mergeCell ref="AB6:AB7"/>
    <mergeCell ref="AC6:AC7"/>
    <mergeCell ref="AA12:AA13"/>
    <mergeCell ref="AB12:AB13"/>
    <mergeCell ref="A18:A19"/>
    <mergeCell ref="Z18:Z19"/>
    <mergeCell ref="W3:Y3"/>
    <mergeCell ref="A8:A9"/>
    <mergeCell ref="A6:A7"/>
    <mergeCell ref="Z14:Z15"/>
    <mergeCell ref="Z10:Z11"/>
    <mergeCell ref="A16:A17"/>
    <mergeCell ref="Z6:Z7"/>
    <mergeCell ref="Z8:Z9"/>
    <mergeCell ref="Z16:Z17"/>
    <mergeCell ref="N3:P3"/>
    <mergeCell ref="E3:G3"/>
    <mergeCell ref="T3:V3"/>
    <mergeCell ref="A2:S2"/>
    <mergeCell ref="A14:A15"/>
    <mergeCell ref="A10:A11"/>
    <mergeCell ref="A12:A13"/>
    <mergeCell ref="K3:M3"/>
    <mergeCell ref="B3:D3"/>
    <mergeCell ref="A4:A5"/>
    <mergeCell ref="H3:J3"/>
    <mergeCell ref="Q3:S3"/>
  </mergeCells>
  <phoneticPr fontId="2"/>
  <printOptions horizontalCentered="1" verticalCentered="1"/>
  <pageMargins left="0.39370078740157483" right="0.39370078740157483" top="0.59055118110236227" bottom="0.39370078740157483" header="0" footer="0"/>
  <pageSetup paperSize="9" orientation="landscape" horizont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1"/>
    <pageSetUpPr fitToPage="1"/>
  </sheetPr>
  <dimension ref="A1:S63"/>
  <sheetViews>
    <sheetView view="pageBreakPreview" topLeftCell="A19" zoomScale="120" zoomScaleNormal="55" zoomScaleSheetLayoutView="120" workbookViewId="0">
      <selection activeCell="M10" sqref="M10"/>
    </sheetView>
  </sheetViews>
  <sheetFormatPr defaultColWidth="5.59765625" defaultRowHeight="12.75" x14ac:dyDescent="0.25"/>
  <cols>
    <col min="1" max="1" width="3.3984375" style="31" customWidth="1"/>
    <col min="2" max="2" width="3.59765625" style="31" customWidth="1"/>
    <col min="3" max="3" width="10.73046875" style="31" customWidth="1"/>
    <col min="4" max="11" width="9.1328125" style="31" customWidth="1"/>
    <col min="12" max="12" width="3.3984375" style="31" customWidth="1"/>
    <col min="13" max="13" width="24.1328125" style="31" customWidth="1"/>
    <col min="14" max="16384" width="5.59765625" style="31"/>
  </cols>
  <sheetData>
    <row r="1" spans="1:19" ht="16.149999999999999" x14ac:dyDescent="0.25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30"/>
      <c r="M1" s="68" t="s">
        <v>218</v>
      </c>
    </row>
    <row r="2" spans="1:19" ht="18.75" x14ac:dyDescent="0.25">
      <c r="A2" s="32"/>
      <c r="B2" s="31" t="s">
        <v>219</v>
      </c>
      <c r="H2" s="131"/>
      <c r="I2" s="131"/>
      <c r="J2" s="131"/>
      <c r="L2" s="33"/>
      <c r="M2" s="75" t="s">
        <v>220</v>
      </c>
    </row>
    <row r="3" spans="1:19" x14ac:dyDescent="0.25">
      <c r="A3" s="126"/>
      <c r="B3" s="127"/>
      <c r="C3" s="127"/>
      <c r="D3" s="127"/>
      <c r="E3" s="127"/>
      <c r="F3" s="127"/>
      <c r="G3" s="127"/>
      <c r="H3" s="128"/>
      <c r="I3" s="128"/>
      <c r="J3" s="128"/>
      <c r="K3" s="128"/>
      <c r="L3" s="129"/>
      <c r="M3" s="637" t="s">
        <v>221</v>
      </c>
    </row>
    <row r="4" spans="1:19" s="36" customFormat="1" ht="16.5" thickBot="1" x14ac:dyDescent="0.3">
      <c r="A4" s="34"/>
      <c r="B4" s="77" t="s">
        <v>222</v>
      </c>
      <c r="C4" s="134"/>
      <c r="D4" s="135"/>
      <c r="E4" s="114" t="s">
        <v>223</v>
      </c>
      <c r="G4" s="78" t="s">
        <v>224</v>
      </c>
      <c r="H4" s="70" t="s">
        <v>225</v>
      </c>
      <c r="I4" s="133"/>
      <c r="J4" s="132"/>
      <c r="L4" s="35"/>
      <c r="M4" s="637"/>
    </row>
    <row r="5" spans="1:19" s="36" customFormat="1" ht="9" customHeight="1" x14ac:dyDescent="0.25">
      <c r="A5" s="136"/>
      <c r="B5" s="137"/>
      <c r="C5" s="138"/>
      <c r="D5" s="138"/>
      <c r="E5" s="139"/>
      <c r="F5" s="139"/>
      <c r="G5" s="137"/>
      <c r="H5" s="140"/>
      <c r="I5" s="139"/>
      <c r="J5" s="139"/>
      <c r="K5" s="137"/>
      <c r="L5" s="141"/>
      <c r="M5" s="142"/>
      <c r="N5" s="137"/>
      <c r="O5" s="137"/>
      <c r="P5" s="137"/>
      <c r="Q5" s="137"/>
      <c r="R5" s="137"/>
      <c r="S5" s="137"/>
    </row>
    <row r="6" spans="1:19" ht="27" customHeight="1" thickBot="1" x14ac:dyDescent="0.3">
      <c r="A6" s="32"/>
      <c r="B6" s="37" t="s">
        <v>226</v>
      </c>
      <c r="C6" s="37"/>
      <c r="D6" s="640" t="str">
        <f>" "&amp;結果!B4&amp;" （ "&amp;編成!F2&amp;"リーグ ）"</f>
        <v xml:space="preserve"> 高円宮杯 第９回 石川県ユース(Ｕ－1５)サッカーチャレンジリーグ 2016 （ トップリーグ ）</v>
      </c>
      <c r="E6" s="640"/>
      <c r="F6" s="640"/>
      <c r="G6" s="640"/>
      <c r="H6" s="640"/>
      <c r="I6" s="640"/>
      <c r="J6" s="640"/>
      <c r="K6" s="640"/>
      <c r="L6" s="33"/>
      <c r="M6" s="75" t="s">
        <v>227</v>
      </c>
    </row>
    <row r="7" spans="1:19" s="36" customFormat="1" ht="22.5" customHeight="1" thickBot="1" x14ac:dyDescent="0.3">
      <c r="A7" s="34"/>
      <c r="B7" s="38"/>
      <c r="C7" s="38"/>
      <c r="D7" s="39"/>
      <c r="E7" s="39"/>
      <c r="F7" s="40"/>
      <c r="G7" s="40"/>
      <c r="H7" s="41"/>
      <c r="I7" s="41"/>
      <c r="J7" s="40"/>
      <c r="K7" s="40"/>
      <c r="L7" s="35"/>
      <c r="M7" s="75" t="s">
        <v>228</v>
      </c>
    </row>
    <row r="8" spans="1:19" ht="24" customHeight="1" x14ac:dyDescent="0.25">
      <c r="A8" s="32"/>
      <c r="B8" s="638" t="s">
        <v>229</v>
      </c>
      <c r="C8" s="639"/>
      <c r="D8" s="74" t="str">
        <f>簡略版!B3</f>
        <v>サザン1st</v>
      </c>
      <c r="E8" s="74" t="str">
        <f>簡略版!E3</f>
        <v>ﾂｴｰｹﾞﾝ1st</v>
      </c>
      <c r="F8" s="74" t="str">
        <f>簡略版!H3</f>
        <v>星稜中</v>
      </c>
      <c r="G8" s="74" t="str">
        <f>簡略版!K3</f>
        <v>セブン1st</v>
      </c>
      <c r="H8" s="74" t="str">
        <f>簡略版!N3</f>
        <v>ﾍﾐﾆｽ1st</v>
      </c>
      <c r="I8" s="74" t="str">
        <f>簡略版!Q3</f>
        <v>Riopedra</v>
      </c>
      <c r="J8" s="74" t="str">
        <f>簡略版!T3</f>
        <v>FC小松1st</v>
      </c>
      <c r="K8" s="74" t="str">
        <f>簡略版!W3</f>
        <v>ﾃｲﾍﾝｽﾞ1st</v>
      </c>
      <c r="L8" s="48"/>
      <c r="M8" s="36"/>
    </row>
    <row r="9" spans="1:19" ht="14.25" customHeight="1" x14ac:dyDescent="0.25">
      <c r="A9" s="32"/>
      <c r="B9" s="634">
        <v>1</v>
      </c>
      <c r="C9" s="641" t="str">
        <f>ソート!A5</f>
        <v>FC.
SOUTHERN
1st</v>
      </c>
      <c r="D9" s="45"/>
      <c r="E9" s="71" t="str">
        <f>IF(E11="","",ソート!J8&amp;" "&amp;MONTH(ソート!L8)&amp;"/"&amp;DAY(ソート!L8))</f>
        <v>④ 5/14</v>
      </c>
      <c r="F9" s="71" t="str">
        <f>IF(F11="","",ソート!Q8&amp;" "&amp;MONTH(ソート!S8)&amp;"/"&amp;DAY(ソート!S8))</f>
        <v>⑥ 5/29</v>
      </c>
      <c r="G9" s="71" t="str">
        <f>IF(G11="","",ソート!X8&amp;" "&amp;MONTH(ソート!Z8)&amp;"/"&amp;DAY(ソート!Z8))</f>
        <v>③ 5/8</v>
      </c>
      <c r="H9" s="71" t="str">
        <f>IF(H11="","",ソート!AE8&amp;" "&amp;MONTH(ソート!AG8)&amp;"/"&amp;DAY(ソート!AG8))</f>
        <v>⑦ 6/25</v>
      </c>
      <c r="I9" s="71" t="str">
        <f>IF(I11="","",ソート!AL8&amp;" "&amp;MONTH(ソート!AN8)&amp;"/"&amp;DAY(ソート!AN8))</f>
        <v>⑦ 7/3</v>
      </c>
      <c r="J9" s="71" t="str">
        <f>IF(J11="","",ソート!AS8&amp;" "&amp;MONTH(ソート!AU8)&amp;"/"&amp;DAY(ソート!AU8))</f>
        <v>① 4/29</v>
      </c>
      <c r="K9" s="71" t="str">
        <f>IF(K11="","",ソート!AZ8&amp;" "&amp;MONTH(ソート!BB8)&amp;"/"&amp;DAY(ソート!BB8))</f>
        <v>② 5/1</v>
      </c>
      <c r="L9" s="49"/>
    </row>
    <row r="10" spans="1:19" ht="14.25" customHeight="1" x14ac:dyDescent="0.25">
      <c r="A10" s="32"/>
      <c r="B10" s="635"/>
      <c r="C10" s="642"/>
      <c r="D10" s="46"/>
      <c r="E10" s="72" t="str">
        <f>IF(E11="","",ソート!L5&amp;" "&amp;DBCS(ソート!I5)&amp;"－"&amp;DBCS(ソート!M5))</f>
        <v>○ ２－０</v>
      </c>
      <c r="F10" s="72" t="str">
        <f>IF(F11="","",ソート!S5&amp;" "&amp;DBCS(ソート!P5)&amp;"－"&amp;DBCS(ソート!T5))</f>
        <v>○ ５－１</v>
      </c>
      <c r="G10" s="72" t="str">
        <f>IF(G11="","",ソート!Z5&amp;" "&amp;DBCS(ソート!W5)&amp;"－"&amp;DBCS(ソート!AA5))</f>
        <v>△ １－１</v>
      </c>
      <c r="H10" s="72" t="str">
        <f>IF(H11="","",ソート!AG5&amp;" "&amp;DBCS(ソート!AD5)&amp;"－"&amp;DBCS(ソート!AH5))</f>
        <v>△ ３－３</v>
      </c>
      <c r="I10" s="72" t="str">
        <f>IF(I11="","",ソート!AN5&amp;" "&amp;DBCS(ソート!AK5)&amp;"－"&amp;DBCS(ソート!AO5))</f>
        <v>○ ３－０</v>
      </c>
      <c r="J10" s="72" t="str">
        <f>IF(J11="","",ソート!AU5&amp;" "&amp;DBCS(ソート!AR5)&amp;"－"&amp;DBCS(ソート!AV5))</f>
        <v>○ １－０</v>
      </c>
      <c r="K10" s="72" t="str">
        <f>IF(K11="","",ソート!BB5&amp;" "&amp;DBCS(ソート!AY5)&amp;"－"&amp;DBCS(ソート!BC5))</f>
        <v>○ １０－０</v>
      </c>
      <c r="L10" s="48"/>
      <c r="M10" s="36"/>
    </row>
    <row r="11" spans="1:19" ht="14.25" customHeight="1" x14ac:dyDescent="0.25">
      <c r="A11" s="32"/>
      <c r="B11" s="635"/>
      <c r="C11" s="642"/>
      <c r="D11" s="46"/>
      <c r="E11" s="73" t="str">
        <f>IF(ソート!I9="","",ソート!I9)</f>
        <v>金沢交流</v>
      </c>
      <c r="F11" s="73" t="str">
        <f>IF(ソート!P9="","",ソート!P9)</f>
        <v>星稜ｻｯｶｰ場</v>
      </c>
      <c r="G11" s="73" t="str">
        <f>IF(ソート!W9="","",ソート!W9)</f>
        <v>和倉Ａ</v>
      </c>
      <c r="H11" s="73" t="str">
        <f>IF(ソート!AD9="","",ソート!AD9)</f>
        <v>能登島Ｂ</v>
      </c>
      <c r="I11" s="73" t="str">
        <f>IF(ソート!AK9="","",ソート!AK9)</f>
        <v>加賀陸上</v>
      </c>
      <c r="J11" s="73" t="str">
        <f>IF(ソート!AR9="","",ソート!AR9)</f>
        <v>星稜ｻｯｶｰ場</v>
      </c>
      <c r="K11" s="73" t="str">
        <f>IF(ソート!AY9="","",ソート!AY9)</f>
        <v>能登島Ｂ</v>
      </c>
      <c r="L11" s="49"/>
    </row>
    <row r="12" spans="1:19" ht="14.25" customHeight="1" x14ac:dyDescent="0.25">
      <c r="A12" s="32"/>
      <c r="B12" s="635"/>
      <c r="C12" s="642"/>
      <c r="D12" s="46"/>
      <c r="E12" s="71" t="str">
        <f>IF(E15="","",ソート!J13&amp;" "&amp;MONTH(ソート!L13)&amp;"/"&amp;DAY(ソート!L13))</f>
        <v/>
      </c>
      <c r="F12" s="71" t="str">
        <f>IF(F14="","",ソート!Q13&amp;" "&amp;MONTH(ソート!S13)&amp;"/"&amp;DAY(ソート!S13))</f>
        <v>⑧ 7/23</v>
      </c>
      <c r="G12" s="71" t="str">
        <f>IF(G14="","",ソート!X13&amp;" "&amp;MONTH(ソート!Z13)&amp;"/"&amp;DAY(ソート!Z13))</f>
        <v>② 10/30</v>
      </c>
      <c r="H12" s="71" t="str">
        <f>IF(H14="","",ソート!AE13&amp;" "&amp;MONTH(ソート!AG13)&amp;"/"&amp;DAY(ソート!AG13))</f>
        <v>⑨ 7/30</v>
      </c>
      <c r="I12" s="71" t="str">
        <f>IF(I14="","",ソート!AL13&amp;" "&amp;MONTH(ソート!AN13)&amp;"/"&amp;DAY(ソート!AN13))</f>
        <v>② 10/16</v>
      </c>
      <c r="J12" s="71" t="str">
        <f>IF(J14="","",ソート!AS13&amp;" "&amp;MONTH(ソート!AU13)&amp;"/"&amp;DAY(ソート!AU13))</f>
        <v>⑨ 8/6</v>
      </c>
      <c r="K12" s="71" t="str">
        <f>IF(K14="","",ソート!AZ13&amp;" "&amp;MONTH(ソート!BB13)&amp;"/"&amp;DAY(ソート!BB13))</f>
        <v>② 10/2</v>
      </c>
      <c r="L12" s="49"/>
    </row>
    <row r="13" spans="1:19" ht="14.25" customHeight="1" x14ac:dyDescent="0.25">
      <c r="A13" s="32"/>
      <c r="B13" s="635"/>
      <c r="C13" s="642"/>
      <c r="D13" s="46"/>
      <c r="E13" s="72" t="str">
        <f>IF(E14="","",ソート!L10&amp;" "&amp;DBCS(ソート!I10)&amp;"－"&amp;DBCS(ソート!M10))</f>
        <v xml:space="preserve"> －</v>
      </c>
      <c r="F13" s="72" t="str">
        <f>IF(F14="","",ソート!S10&amp;" "&amp;DBCS(ソート!P10)&amp;"－"&amp;DBCS(ソート!T10))</f>
        <v>○ ２－０</v>
      </c>
      <c r="G13" s="72" t="str">
        <f>IF(G14="","",ソート!Z10&amp;" "&amp;DBCS(ソート!W10)&amp;"－"&amp;DBCS(ソート!AA10))</f>
        <v xml:space="preserve"> －</v>
      </c>
      <c r="H13" s="72" t="str">
        <f>IF(H14="","",ソート!AG10&amp;" "&amp;DBCS(ソート!AD10)&amp;"－"&amp;DBCS(ソート!AH10))</f>
        <v>○ ９－０</v>
      </c>
      <c r="I13" s="72" t="str">
        <f>IF(I14="","",ソート!AN10&amp;" "&amp;DBCS(ソート!AK10)&amp;"－"&amp;DBCS(ソート!AO10))</f>
        <v xml:space="preserve"> －</v>
      </c>
      <c r="J13" s="72" t="str">
        <f>IF(J14="","",ソート!AU10&amp;" "&amp;DBCS(ソート!AR10)&amp;"－"&amp;DBCS(ソート!AV10))</f>
        <v>○ ４－０</v>
      </c>
      <c r="K13" s="72" t="str">
        <f>IF(K14="","",ソート!BB10&amp;" "&amp;DBCS(ソート!AY10)&amp;"－"&amp;DBCS(ソート!BC10))</f>
        <v>○ １６－０</v>
      </c>
      <c r="L13" s="49"/>
    </row>
    <row r="14" spans="1:19" ht="14.25" customHeight="1" x14ac:dyDescent="0.25">
      <c r="A14" s="32"/>
      <c r="B14" s="636"/>
      <c r="C14" s="643"/>
      <c r="D14" s="46"/>
      <c r="E14" s="73" t="str">
        <f>IF(ソート!I14="","",ソート!I14)</f>
        <v>金沢市民</v>
      </c>
      <c r="F14" s="73" t="str">
        <f>IF(ソート!P14="","",ソート!P14)</f>
        <v>北陸大FPB</v>
      </c>
      <c r="G14" s="73" t="str">
        <f>IF(ソート!W14="","",ソート!W14)</f>
        <v>星稜ｻｯｶｰ場</v>
      </c>
      <c r="H14" s="73" t="str">
        <f>IF(ソート!AD14="","",ソート!AD14)</f>
        <v>金沢市民</v>
      </c>
      <c r="I14" s="73" t="str">
        <f>IF(ソート!AK14="","",ソート!AK14)</f>
        <v>かほく市S</v>
      </c>
      <c r="J14" s="73" t="str">
        <f>IF(ソート!AR14="","",ソート!AR14)</f>
        <v>金沢交流</v>
      </c>
      <c r="K14" s="73" t="str">
        <f>IF(ソート!AY14="","",ソート!AY14)</f>
        <v>かほく市S</v>
      </c>
      <c r="L14" s="49"/>
    </row>
    <row r="15" spans="1:19" ht="14.25" customHeight="1" x14ac:dyDescent="0.25">
      <c r="A15" s="32"/>
      <c r="B15" s="634">
        <v>2</v>
      </c>
      <c r="C15" s="641" t="str">
        <f>ソート!A15</f>
        <v>ツエーゲン
金沢U-15
1st</v>
      </c>
      <c r="D15" s="71" t="str">
        <f>IF(D17="","",ソート!C18&amp;" "&amp;MONTH(ソート!E18)&amp;"/"&amp;DAY(ソート!E18))</f>
        <v>④ 5/14</v>
      </c>
      <c r="E15" s="45"/>
      <c r="F15" s="71" t="str">
        <f>IF(F17="","",ソート!Q18&amp;" "&amp;MONTH(ソート!S18)&amp;"/"&amp;DAY(ソート!S18))</f>
        <v>⑥ 6/5</v>
      </c>
      <c r="G15" s="71" t="str">
        <f>IF(G17="","",ソート!X18&amp;" "&amp;MONTH(ソート!Z18)&amp;"/"&amp;DAY(ソート!Z18))</f>
        <v>⑦ 7/2</v>
      </c>
      <c r="H15" s="71" t="str">
        <f>IF(H17="","",ソート!AE18&amp;" "&amp;MONTH(ソート!AG18)&amp;"/"&amp;DAY(ソート!AG18))</f>
        <v>⑥ 5/28</v>
      </c>
      <c r="I15" s="71" t="str">
        <f>IF(I17="","",ソート!AL18&amp;" "&amp;MONTH(ソート!AN18)&amp;"/"&amp;DAY(ソート!AN18))</f>
        <v>③ 5/7</v>
      </c>
      <c r="J15" s="71" t="str">
        <f>IF(J17="","",ソート!AS18&amp;" "&amp;MONTH(ソート!AU18)&amp;"/"&amp;DAY(ソート!AU18))</f>
        <v>② 5/3</v>
      </c>
      <c r="K15" s="71" t="str">
        <f>IF(K17="","",ソート!AZ18&amp;" "&amp;MONTH(ソート!BB18)&amp;"/"&amp;DAY(ソート!BB18))</f>
        <v>① 4/29</v>
      </c>
      <c r="L15" s="48"/>
      <c r="M15" s="36"/>
    </row>
    <row r="16" spans="1:19" ht="14.25" customHeight="1" x14ac:dyDescent="0.25">
      <c r="A16" s="32"/>
      <c r="B16" s="635"/>
      <c r="C16" s="642"/>
      <c r="D16" s="72" t="str">
        <f>IF(D17="","",ソート!E15&amp;" "&amp;DBCS(ソート!B15)&amp;"－"&amp;DBCS(ソート!F15))</f>
        <v>● ０－２</v>
      </c>
      <c r="E16" s="46"/>
      <c r="F16" s="72" t="str">
        <f>IF(F17="","",ソート!S15&amp;" "&amp;DBCS(ソート!P15)&amp;"－"&amp;DBCS(ソート!T15))</f>
        <v>○ ５－０</v>
      </c>
      <c r="G16" s="72" t="str">
        <f>IF(G17="","",ソート!Z15&amp;" "&amp;DBCS(ソート!W15)&amp;"－"&amp;DBCS(ソート!AA15))</f>
        <v>△ １－１</v>
      </c>
      <c r="H16" s="72" t="str">
        <f>IF(H17="","",ソート!AG15&amp;" "&amp;DBCS(ソート!AD15)&amp;"－"&amp;DBCS(ソート!AH15))</f>
        <v>○ １－０</v>
      </c>
      <c r="I16" s="72" t="str">
        <f>IF(I17="","",ソート!AN15&amp;" "&amp;DBCS(ソート!AK15)&amp;"－"&amp;DBCS(ソート!AO15))</f>
        <v>○ ７－０</v>
      </c>
      <c r="J16" s="72" t="str">
        <f>IF(J17="","",ソート!AU15&amp;" "&amp;DBCS(ソート!AR15)&amp;"－"&amp;DBCS(ソート!AV15))</f>
        <v>○ １０－０</v>
      </c>
      <c r="K16" s="72" t="str">
        <f>IF(K17="","",ソート!BB15&amp;" "&amp;DBCS(ソート!AY15)&amp;"－"&amp;DBCS(ソート!BC15))</f>
        <v>○ ８－１</v>
      </c>
      <c r="L16" s="49"/>
    </row>
    <row r="17" spans="1:13" ht="14.25" customHeight="1" x14ac:dyDescent="0.25">
      <c r="A17" s="32"/>
      <c r="B17" s="635"/>
      <c r="C17" s="642"/>
      <c r="D17" s="73" t="str">
        <f>IF(ソート!B19="","",ソート!B19)</f>
        <v>金沢交流</v>
      </c>
      <c r="E17" s="46"/>
      <c r="F17" s="73" t="str">
        <f>IF(ソート!P19="","",ソート!P19)</f>
        <v>星稜ｻｯｶｰ場</v>
      </c>
      <c r="G17" s="73" t="str">
        <f>IF(ソート!W19="","",ソート!W19)</f>
        <v>金沢市民</v>
      </c>
      <c r="H17" s="73" t="str">
        <f>IF(ソート!AD19="","",ソート!AD19)</f>
        <v>金沢市民</v>
      </c>
      <c r="I17" s="73" t="str">
        <f>IF(ソート!AK19="","",ソート!AK19)</f>
        <v>金沢交流</v>
      </c>
      <c r="J17" s="73" t="str">
        <f>IF(ソート!AR19="","",ソート!AR19)</f>
        <v>金沢交流</v>
      </c>
      <c r="K17" s="73" t="str">
        <f>IF(ソート!AY19="","",ソート!AY19)</f>
        <v>能登島Ｂ</v>
      </c>
      <c r="L17" s="48"/>
      <c r="M17" s="36"/>
    </row>
    <row r="18" spans="1:13" ht="14.25" customHeight="1" x14ac:dyDescent="0.25">
      <c r="A18" s="32"/>
      <c r="B18" s="635"/>
      <c r="C18" s="642"/>
      <c r="D18" s="71" t="str">
        <f>IF(D20="","",ソート!C23&amp;" "&amp;MONTH(ソート!E23)&amp;"/"&amp;DAY(ソート!E23))</f>
        <v>② 11/3</v>
      </c>
      <c r="E18" s="46"/>
      <c r="F18" s="71" t="str">
        <f>IF(F20="","",ソート!Q23&amp;" "&amp;MONTH(ソート!S23)&amp;"/"&amp;DAY(ソート!S23))</f>
        <v>② 10/30</v>
      </c>
      <c r="G18" s="71" t="str">
        <f>IF(G20="","",ソート!X23&amp;" "&amp;MONTH(ソート!Z23)&amp;"/"&amp;DAY(ソート!Z23))</f>
        <v>② 9/11</v>
      </c>
      <c r="H18" s="71" t="str">
        <f>IF(H20="","",ソート!AE23&amp;" "&amp;MONTH(ソート!AG23)&amp;"/"&amp;DAY(ソート!AG23))</f>
        <v>⑧ 7/23</v>
      </c>
      <c r="I18" s="71" t="str">
        <f>IF(I20="","",ソート!AL23&amp;" "&amp;MONTH(ソート!AN23)&amp;"/"&amp;DAY(ソート!AN23))</f>
        <v>② 10/1</v>
      </c>
      <c r="J18" s="71" t="str">
        <f>IF(J20="","",ソート!AS23&amp;" "&amp;MONTH(ソート!AU23)&amp;"/"&amp;DAY(ソート!AU23))</f>
        <v>⑨ 7/30</v>
      </c>
      <c r="K18" s="71" t="str">
        <f>IF(K20="","",ソート!AZ23&amp;" "&amp;MONTH(ソート!BB23)&amp;"/"&amp;DAY(ソート!BB23))</f>
        <v>② 10/15</v>
      </c>
      <c r="L18" s="48"/>
      <c r="M18" s="36"/>
    </row>
    <row r="19" spans="1:13" ht="14.25" customHeight="1" x14ac:dyDescent="0.25">
      <c r="A19" s="32"/>
      <c r="B19" s="635"/>
      <c r="C19" s="642"/>
      <c r="D19" s="72" t="str">
        <f>IF(D20="","",ソート!E20&amp;" "&amp;DBCS(ソート!B20)&amp;"－"&amp;DBCS(ソート!F20))</f>
        <v xml:space="preserve"> －</v>
      </c>
      <c r="E19" s="46"/>
      <c r="F19" s="72" t="str">
        <f>IF(F20="","",ソート!S20&amp;" "&amp;DBCS(ソート!P20)&amp;"－"&amp;DBCS(ソート!T20))</f>
        <v xml:space="preserve"> －</v>
      </c>
      <c r="G19" s="72" t="str">
        <f>IF(G20="","",ソート!Z20&amp;" "&amp;DBCS(ソート!W20)&amp;"－"&amp;DBCS(ソート!AA20))</f>
        <v>○ ３－０</v>
      </c>
      <c r="H19" s="72" t="str">
        <f>IF(H20="","",ソート!AG20&amp;" "&amp;DBCS(ソート!AD20)&amp;"－"&amp;DBCS(ソート!AH20))</f>
        <v>○ ３－１</v>
      </c>
      <c r="I19" s="72" t="str">
        <f>IF(I20="","",ソート!AN20&amp;" "&amp;DBCS(ソート!AK20)&amp;"－"&amp;DBCS(ソート!AO20))</f>
        <v>○ ７－０</v>
      </c>
      <c r="J19" s="72" t="str">
        <f>IF(J20="","",ソート!AU20&amp;" "&amp;DBCS(ソート!AR20)&amp;"－"&amp;DBCS(ソート!AV20))</f>
        <v>○ ３－０</v>
      </c>
      <c r="K19" s="72" t="str">
        <f>IF(K20="","",ソート!BB20&amp;" "&amp;DBCS(ソート!AY20)&amp;"－"&amp;DBCS(ソート!BC20))</f>
        <v xml:space="preserve"> －</v>
      </c>
      <c r="L19" s="48"/>
      <c r="M19" s="36"/>
    </row>
    <row r="20" spans="1:13" ht="14.25" customHeight="1" x14ac:dyDescent="0.25">
      <c r="A20" s="32"/>
      <c r="B20" s="636"/>
      <c r="C20" s="643"/>
      <c r="D20" s="73" t="str">
        <f>IF(ソート!B24="","",ソート!B24)</f>
        <v>金沢市民</v>
      </c>
      <c r="E20" s="46"/>
      <c r="F20" s="73" t="str">
        <f>IF(ソート!P24="","",ソート!P24)</f>
        <v>星稜ｻｯｶｰ場</v>
      </c>
      <c r="G20" s="73" t="str">
        <f>IF(ソート!W24="","",ソート!W24)</f>
        <v>能登島Ｂ</v>
      </c>
      <c r="H20" s="73" t="str">
        <f>IF(ソート!AD24="","",ソート!AD24)</f>
        <v>北陸大FPB</v>
      </c>
      <c r="I20" s="73" t="str">
        <f>IF(ソート!AK24="","",ソート!AK24)</f>
        <v>金沢市民</v>
      </c>
      <c r="J20" s="73" t="str">
        <f>IF(ソート!AR24="","",ソート!AR24)</f>
        <v>小松市民</v>
      </c>
      <c r="K20" s="73" t="str">
        <f>IF(ソート!AY24="","",ソート!AY24)</f>
        <v>金沢市民</v>
      </c>
      <c r="L20" s="48"/>
      <c r="M20" s="36"/>
    </row>
    <row r="21" spans="1:13" ht="14.25" customHeight="1" x14ac:dyDescent="0.25">
      <c r="A21" s="32"/>
      <c r="B21" s="634">
        <v>3</v>
      </c>
      <c r="C21" s="641" t="str">
        <f>ソート!A25</f>
        <v>星稜中学校</v>
      </c>
      <c r="D21" s="71" t="str">
        <f>IF(D23="","",ソート!C28&amp;" "&amp;MONTH(ソート!E28)&amp;"/"&amp;DAY(ソート!E28))</f>
        <v>⑥ 5/29</v>
      </c>
      <c r="E21" s="71" t="str">
        <f>IF(E23="","",ソート!J28&amp;" "&amp;MONTH(ソート!L28)&amp;"/"&amp;DAY(ソート!L28))</f>
        <v>⑥ 6/5</v>
      </c>
      <c r="F21" s="45"/>
      <c r="G21" s="71" t="str">
        <f>IF(G23="","",ソート!X28&amp;" "&amp;MONTH(ソート!Z28)&amp;"/"&amp;DAY(ソート!Z28))</f>
        <v>⑦ 6/25</v>
      </c>
      <c r="H21" s="71" t="str">
        <f>IF(H23="","",ソート!AE28&amp;" "&amp;MONTH(ソート!AG28)&amp;"/"&amp;DAY(ソート!AG28))</f>
        <v>② 5/3</v>
      </c>
      <c r="I21" s="71" t="str">
        <f>IF(I23="","",ソート!AL28&amp;" "&amp;MONTH(ソート!AN28)&amp;"/"&amp;DAY(ソート!AN28))</f>
        <v>① 4/29</v>
      </c>
      <c r="J21" s="71" t="str">
        <f>IF(J23="","",ソート!AS28&amp;" "&amp;MONTH(ソート!AU28)&amp;"/"&amp;DAY(ソート!AU28))</f>
        <v>③ 5/8</v>
      </c>
      <c r="K21" s="71" t="str">
        <f>IF(K23="","",ソート!AZ28&amp;" "&amp;MONTH(ソート!BB28)&amp;"/"&amp;DAY(ソート!BB28))</f>
        <v>⑦ 7/9</v>
      </c>
      <c r="L21" s="49"/>
    </row>
    <row r="22" spans="1:13" ht="14.25" customHeight="1" x14ac:dyDescent="0.25">
      <c r="A22" s="32"/>
      <c r="B22" s="635"/>
      <c r="C22" s="642"/>
      <c r="D22" s="72" t="str">
        <f>IF(D23="","",ソート!E25&amp;" "&amp;DBCS(ソート!B25)&amp;"－"&amp;DBCS(ソート!F25))</f>
        <v>● １－５</v>
      </c>
      <c r="E22" s="72" t="str">
        <f>IF(E23="","",ソート!L25&amp;" "&amp;DBCS(ソート!I25)&amp;"－"&amp;DBCS(ソート!M25))</f>
        <v>● ０－５</v>
      </c>
      <c r="F22" s="46"/>
      <c r="G22" s="72" t="str">
        <f>IF(G23="","",ソート!Z25&amp;" "&amp;DBCS(ソート!W25)&amp;"－"&amp;DBCS(ソート!AA25))</f>
        <v>○ １－０</v>
      </c>
      <c r="H22" s="72" t="str">
        <f>IF(H23="","",ソート!AG25&amp;" "&amp;DBCS(ソート!AD25)&amp;"－"&amp;DBCS(ソート!AH25))</f>
        <v>● １－３</v>
      </c>
      <c r="I22" s="72" t="str">
        <f>IF(I23="","",ソート!AN25&amp;" "&amp;DBCS(ソート!AK25)&amp;"－"&amp;DBCS(ソート!AO25))</f>
        <v>○ １－０</v>
      </c>
      <c r="J22" s="72" t="str">
        <f>IF(J23="","",ソート!AU25&amp;" "&amp;DBCS(ソート!AR25)&amp;"－"&amp;DBCS(ソート!AV25))</f>
        <v>○ ２－１</v>
      </c>
      <c r="K22" s="72" t="str">
        <f>IF(K23="","",ソート!BB25&amp;" "&amp;DBCS(ソート!AY25)&amp;"－"&amp;DBCS(ソート!BC25))</f>
        <v>○ ９－０</v>
      </c>
      <c r="L22" s="48"/>
      <c r="M22" s="36"/>
    </row>
    <row r="23" spans="1:13" ht="14.25" customHeight="1" x14ac:dyDescent="0.25">
      <c r="A23" s="32"/>
      <c r="B23" s="635"/>
      <c r="C23" s="642"/>
      <c r="D23" s="73" t="str">
        <f>IF(ソート!B29="","",ソート!B29)</f>
        <v>星稜ｻｯｶｰ場</v>
      </c>
      <c r="E23" s="73" t="str">
        <f>IF(ソート!I29="","",ソート!I29)</f>
        <v>星稜ｻｯｶｰ場</v>
      </c>
      <c r="F23" s="46"/>
      <c r="G23" s="73" t="str">
        <f>IF(ソート!W29="","",ソート!W29)</f>
        <v>能登島Ｂ</v>
      </c>
      <c r="H23" s="73" t="str">
        <f>IF(ソート!AD29="","",ソート!AD29)</f>
        <v>金沢交流</v>
      </c>
      <c r="I23" s="73" t="str">
        <f>IF(ソート!AK29="","",ソート!AK29)</f>
        <v>星稜ｻｯｶｰ場</v>
      </c>
      <c r="J23" s="73" t="str">
        <f>IF(ソート!AR29="","",ソート!AR29)</f>
        <v>金沢交流</v>
      </c>
      <c r="K23" s="73" t="str">
        <f>IF(ソート!AY29="","",ソート!AY29)</f>
        <v>星稜ｻｯｶｰ場</v>
      </c>
      <c r="L23" s="49"/>
    </row>
    <row r="24" spans="1:13" ht="14.25" customHeight="1" x14ac:dyDescent="0.25">
      <c r="A24" s="32"/>
      <c r="B24" s="635"/>
      <c r="C24" s="396"/>
      <c r="D24" s="71" t="str">
        <f>IF(D26="","",ソート!C33&amp;" "&amp;MONTH(ソート!E33)&amp;"/"&amp;DAY(ソート!E33))</f>
        <v>⑧ 7/23</v>
      </c>
      <c r="E24" s="71" t="str">
        <f>IF(E26="","",ソート!J33&amp;" "&amp;MONTH(ソート!L33)&amp;"/"&amp;DAY(ソート!L33))</f>
        <v>② 10/30</v>
      </c>
      <c r="F24" s="46"/>
      <c r="G24" s="71" t="str">
        <f>IF(G26="","",ソート!X33&amp;" "&amp;MONTH(ソート!Z33)&amp;"/"&amp;DAY(ソート!Z33))</f>
        <v>② 11/3</v>
      </c>
      <c r="H24" s="71" t="str">
        <f>IF(H26="","",ソート!AE33&amp;" "&amp;MONTH(ソート!AG33)&amp;"/"&amp;DAY(ソート!AG33))</f>
        <v>② 10/16</v>
      </c>
      <c r="I24" s="71" t="str">
        <f>IF(I26="","",ソート!AL33&amp;" "&amp;MONTH(ソート!AN33)&amp;"/"&amp;DAY(ソート!AN33))</f>
        <v>② 9/11</v>
      </c>
      <c r="J24" s="71" t="str">
        <f>IF(J26="","",ソート!AS33&amp;" "&amp;MONTH(ソート!AU33)&amp;"/"&amp;DAY(ソート!AU33))</f>
        <v>② 10/2</v>
      </c>
      <c r="K24" s="71" t="str">
        <f>IF(K26="","",ソート!AZ33&amp;" "&amp;MONTH(ソート!BB33)&amp;"/"&amp;DAY(ソート!BB33))</f>
        <v>② 9/4</v>
      </c>
      <c r="L24" s="49"/>
    </row>
    <row r="25" spans="1:13" ht="14.25" customHeight="1" x14ac:dyDescent="0.25">
      <c r="A25" s="32"/>
      <c r="B25" s="635"/>
      <c r="C25" s="396"/>
      <c r="D25" s="72" t="str">
        <f>IF(D26="","",ソート!E30&amp;" "&amp;DBCS(ソート!B30)&amp;"－"&amp;DBCS(ソート!F30))</f>
        <v>● ０－２</v>
      </c>
      <c r="E25" s="72" t="str">
        <f>IF(E26="","",ソート!L30&amp;" "&amp;DBCS(ソート!I30)&amp;"－"&amp;DBCS(ソート!M30))</f>
        <v xml:space="preserve"> －</v>
      </c>
      <c r="F25" s="46"/>
      <c r="G25" s="72" t="str">
        <f>IF(G26="","",ソート!Z30&amp;" "&amp;DBCS(ソート!W30)&amp;"－"&amp;DBCS(ソート!AA30))</f>
        <v xml:space="preserve"> －</v>
      </c>
      <c r="H25" s="72" t="str">
        <f>IF(H26="","",ソート!AG30&amp;" "&amp;DBCS(ソート!AD30)&amp;"－"&amp;DBCS(ソート!AH30))</f>
        <v xml:space="preserve"> －</v>
      </c>
      <c r="I25" s="72" t="str">
        <f>IF(I26="","",ソート!AN30&amp;" "&amp;DBCS(ソート!AK30)&amp;"－"&amp;DBCS(ソート!AO30))</f>
        <v>○ ３－１</v>
      </c>
      <c r="J25" s="72" t="str">
        <f>IF(J26="","",ソート!AU30&amp;" "&amp;DBCS(ソート!AR30)&amp;"－"&amp;DBCS(ソート!AV30))</f>
        <v>○ ３－１</v>
      </c>
      <c r="K25" s="72" t="str">
        <f>IF(K26="","",ソート!BB30&amp;" "&amp;DBCS(ソート!AY30)&amp;"－"&amp;DBCS(ソート!BC30))</f>
        <v>○ ８－１</v>
      </c>
      <c r="L25" s="49"/>
    </row>
    <row r="26" spans="1:13" ht="14.25" customHeight="1" x14ac:dyDescent="0.25">
      <c r="A26" s="32"/>
      <c r="B26" s="636"/>
      <c r="C26" s="396"/>
      <c r="D26" s="73" t="str">
        <f>IF(ソート!B34="","",ソート!B34)</f>
        <v>北陸大FPB</v>
      </c>
      <c r="E26" s="73" t="str">
        <f>IF(ソート!I34="","",ソート!I34)</f>
        <v>星稜ｻｯｶｰ場</v>
      </c>
      <c r="F26" s="46"/>
      <c r="G26" s="73" t="str">
        <f>IF(ソート!W34="","",ソート!W34)</f>
        <v>星稜ｻｯｶｰ場</v>
      </c>
      <c r="H26" s="73" t="str">
        <f>IF(ソート!AD34="","",ソート!AD34)</f>
        <v>かほく市S</v>
      </c>
      <c r="I26" s="73" t="str">
        <f>IF(ソート!AK34="","",ソート!AK34)</f>
        <v>加賀陸上</v>
      </c>
      <c r="J26" s="73" t="str">
        <f>IF(ソート!AR34="","",ソート!AR34)</f>
        <v>かほく市S</v>
      </c>
      <c r="K26" s="73" t="str">
        <f>IF(ソート!AY34="","",ソート!AY34)</f>
        <v>小松市民</v>
      </c>
      <c r="L26" s="49"/>
    </row>
    <row r="27" spans="1:13" ht="14.25" customHeight="1" x14ac:dyDescent="0.25">
      <c r="A27" s="32"/>
      <c r="B27" s="634">
        <v>4</v>
      </c>
      <c r="C27" s="641" t="str">
        <f>ソート!A35</f>
        <v>セブン能登
1st</v>
      </c>
      <c r="D27" s="71" t="str">
        <f>IF(D29="","",ソート!C38&amp;" "&amp;MONTH(ソート!E38)&amp;"/"&amp;DAY(ソート!E38))</f>
        <v>③ 5/8</v>
      </c>
      <c r="E27" s="71" t="str">
        <f>IF(E29="","",ソート!J38&amp;" "&amp;MONTH(ソート!L38)&amp;"/"&amp;DAY(ソート!L38))</f>
        <v>⑦ 7/2</v>
      </c>
      <c r="F27" s="71" t="str">
        <f>IF(F29="","",ソート!Q38&amp;" "&amp;MONTH(ソート!S38)&amp;"/"&amp;DAY(ソート!S38))</f>
        <v>⑦ 6/25</v>
      </c>
      <c r="G27" s="45"/>
      <c r="H27" s="71" t="str">
        <f>IF(H29="","",ソート!AE38&amp;" "&amp;MONTH(ソート!AG38)&amp;"/"&amp;DAY(ソート!AG38))</f>
        <v>① 4/29</v>
      </c>
      <c r="I27" s="71" t="str">
        <f>IF(I29="","",ソート!AL38&amp;" "&amp;MONTH(ソート!AN38)&amp;"/"&amp;DAY(ソート!AN38))</f>
        <v>② 5/1</v>
      </c>
      <c r="J27" s="71" t="str">
        <f>IF(J29="","",ソート!AS38&amp;" "&amp;MONTH(ソート!AU38)&amp;"/"&amp;DAY(ソート!AU38))</f>
        <v>⑥ 5/28</v>
      </c>
      <c r="K27" s="71" t="str">
        <f>IF(K29="","",ソート!AZ38&amp;" "&amp;MONTH(ソート!BB38)&amp;"/"&amp;DAY(ソート!BB38))</f>
        <v>④ 5/14</v>
      </c>
      <c r="L27" s="48"/>
      <c r="M27" s="36"/>
    </row>
    <row r="28" spans="1:13" ht="14.25" customHeight="1" x14ac:dyDescent="0.25">
      <c r="A28" s="32"/>
      <c r="B28" s="635"/>
      <c r="C28" s="642"/>
      <c r="D28" s="72" t="str">
        <f>IF(D29="","",ソート!E35&amp;" "&amp;DBCS(ソート!B35)&amp;"－"&amp;DBCS(ソート!F35))</f>
        <v>△ １－１</v>
      </c>
      <c r="E28" s="72" t="str">
        <f>IF(E29="","",ソート!L35&amp;" "&amp;DBCS(ソート!I35)&amp;"－"&amp;DBCS(ソート!M35))</f>
        <v>△ １－１</v>
      </c>
      <c r="F28" s="72" t="str">
        <f>IF(F29="","",ソート!S35&amp;" "&amp;DBCS(ソート!P35)&amp;"－"&amp;DBCS(ソート!T35))</f>
        <v>● ０－１</v>
      </c>
      <c r="G28" s="46"/>
      <c r="H28" s="72" t="str">
        <f>IF(H29="","",ソート!AG35&amp;" "&amp;DBCS(ソート!AD35)&amp;"－"&amp;DBCS(ソート!AH35))</f>
        <v>● １－３</v>
      </c>
      <c r="I28" s="72" t="str">
        <f>IF(I29="","",ソート!AN35&amp;" "&amp;DBCS(ソート!AK35)&amp;"－"&amp;DBCS(ソート!AO35))</f>
        <v>○ ２－１</v>
      </c>
      <c r="J28" s="72" t="str">
        <f>IF(J29="","",ソート!AU35&amp;" "&amp;DBCS(ソート!AR35)&amp;"－"&amp;DBCS(ソート!AV35))</f>
        <v>○ ２－１</v>
      </c>
      <c r="K28" s="72" t="str">
        <f>IF(K29="","",ソート!BB35&amp;" "&amp;DBCS(ソート!AY35)&amp;"－"&amp;DBCS(ソート!BC35))</f>
        <v>○ ５－０</v>
      </c>
      <c r="L28" s="49"/>
    </row>
    <row r="29" spans="1:13" ht="14.25" customHeight="1" x14ac:dyDescent="0.25">
      <c r="A29" s="32"/>
      <c r="B29" s="635"/>
      <c r="C29" s="642"/>
      <c r="D29" s="73" t="str">
        <f>IF(ソート!B39="","",ソート!B39)</f>
        <v>和倉Ａ</v>
      </c>
      <c r="E29" s="73" t="str">
        <f>IF(ソート!I39="","",ソート!I39)</f>
        <v>金沢市民</v>
      </c>
      <c r="F29" s="73" t="str">
        <f>IF(ソート!P39="","",ソート!P39)</f>
        <v>能登島Ｂ</v>
      </c>
      <c r="G29" s="46"/>
      <c r="H29" s="73" t="str">
        <f>IF(ソート!AD39="","",ソート!AD39)</f>
        <v>能登島Ｂ</v>
      </c>
      <c r="I29" s="73" t="str">
        <f>IF(ソート!AK39="","",ソート!AK39)</f>
        <v>能登島Ｂ</v>
      </c>
      <c r="J29" s="73" t="str">
        <f>IF(ソート!AR39="","",ソート!AR39)</f>
        <v>金沢市民</v>
      </c>
      <c r="K29" s="73" t="str">
        <f>IF(ソート!AY39="","",ソート!AY39)</f>
        <v>金沢交流</v>
      </c>
      <c r="L29" s="48"/>
      <c r="M29" s="36"/>
    </row>
    <row r="30" spans="1:13" ht="14.25" customHeight="1" x14ac:dyDescent="0.25">
      <c r="A30" s="32"/>
      <c r="B30" s="635"/>
      <c r="C30" s="642"/>
      <c r="D30" s="71" t="str">
        <f>IF(D32="","",ソート!C43&amp;" "&amp;MONTH(ソート!E43)&amp;"/"&amp;DAY(ソート!E43))</f>
        <v>② 10/30</v>
      </c>
      <c r="E30" s="71" t="str">
        <f>IF(E32="","",ソート!J43&amp;" "&amp;MONTH(ソート!L43)&amp;"/"&amp;DAY(ソート!L43))</f>
        <v>② 9/11</v>
      </c>
      <c r="F30" s="71" t="str">
        <f>IF(F32="","",ソート!Q43&amp;" "&amp;MONTH(ソート!S43)&amp;"/"&amp;DAY(ソート!S43))</f>
        <v>② 11/3</v>
      </c>
      <c r="G30" s="46"/>
      <c r="H30" s="71" t="str">
        <f>IF(H32="","",ソート!AE43&amp;" "&amp;MONTH(ソート!AG43)&amp;"/"&amp;DAY(ソート!AG43))</f>
        <v>② 10/1</v>
      </c>
      <c r="I30" s="71" t="str">
        <f>IF(I32="","",ソート!AL43&amp;" "&amp;MONTH(ソート!AN43)&amp;"/"&amp;DAY(ソート!AN43))</f>
        <v>⑨ 7/30</v>
      </c>
      <c r="J30" s="71" t="str">
        <f>IF(J32="","",ソート!AS43&amp;" "&amp;MONTH(ソート!AU43)&amp;"/"&amp;DAY(ソート!AU43))</f>
        <v>② 10/15</v>
      </c>
      <c r="K30" s="71" t="str">
        <f>IF(K32="","",ソート!AZ43&amp;" "&amp;MONTH(ソート!BB43)&amp;"/"&amp;DAY(ソート!BB43))</f>
        <v>⑧ 7/23</v>
      </c>
      <c r="L30" s="48"/>
      <c r="M30" s="36"/>
    </row>
    <row r="31" spans="1:13" ht="14.25" customHeight="1" x14ac:dyDescent="0.25">
      <c r="A31" s="32"/>
      <c r="B31" s="635"/>
      <c r="C31" s="642"/>
      <c r="D31" s="72" t="str">
        <f>IF(D32="","",ソート!E40&amp;" "&amp;DBCS(ソート!B40)&amp;"－"&amp;DBCS(ソート!F40))</f>
        <v xml:space="preserve"> －</v>
      </c>
      <c r="E31" s="72" t="str">
        <f>IF(E32="","",ソート!L40&amp;" "&amp;DBCS(ソート!I40)&amp;"－"&amp;DBCS(ソート!M40))</f>
        <v>● ０－３</v>
      </c>
      <c r="F31" s="72" t="str">
        <f>IF(F32="","",ソート!S40&amp;" "&amp;DBCS(ソート!P40)&amp;"－"&amp;DBCS(ソート!T40))</f>
        <v xml:space="preserve"> －</v>
      </c>
      <c r="G31" s="46"/>
      <c r="H31" s="72" t="str">
        <f>IF(H32="","",ソート!AG40&amp;" "&amp;DBCS(ソート!AD40)&amp;"－"&amp;DBCS(ソート!AH40))</f>
        <v>○ ４－１</v>
      </c>
      <c r="I31" s="72" t="str">
        <f>IF(I32="","",ソート!AN40&amp;" "&amp;DBCS(ソート!AK40)&amp;"－"&amp;DBCS(ソート!AO40))</f>
        <v>○ ２－０</v>
      </c>
      <c r="J31" s="72" t="str">
        <f>IF(J32="","",ソート!AU40&amp;" "&amp;DBCS(ソート!AR40)&amp;"－"&amp;DBCS(ソート!AV40))</f>
        <v xml:space="preserve"> －</v>
      </c>
      <c r="K31" s="72" t="str">
        <f>IF(K32="","",ソート!BB40&amp;" "&amp;DBCS(ソート!AY40)&amp;"－"&amp;DBCS(ソート!BC40))</f>
        <v>○ ５－０</v>
      </c>
      <c r="L31" s="48"/>
      <c r="M31" s="36"/>
    </row>
    <row r="32" spans="1:13" ht="14.25" customHeight="1" x14ac:dyDescent="0.25">
      <c r="A32" s="32"/>
      <c r="B32" s="636"/>
      <c r="C32" s="643"/>
      <c r="D32" s="73" t="str">
        <f>IF(ソート!B44="","",ソート!B44)</f>
        <v>星稜ｻｯｶｰ場</v>
      </c>
      <c r="E32" s="73" t="str">
        <f>IF(ソート!I44="","",ソート!I44)</f>
        <v>能登島Ｂ</v>
      </c>
      <c r="F32" s="73" t="str">
        <f>IF(ソート!P44="","",ソート!P44)</f>
        <v>星稜ｻｯｶｰ場</v>
      </c>
      <c r="G32" s="46"/>
      <c r="H32" s="73" t="str">
        <f>IF(ソート!AD44="","",ソート!AD44)</f>
        <v>金沢市民</v>
      </c>
      <c r="I32" s="73" t="str">
        <f>IF(ソート!AK44="","",ソート!AK44)</f>
        <v>小松市民</v>
      </c>
      <c r="J32" s="73" t="str">
        <f>IF(ソート!AR44="","",ソート!AR44)</f>
        <v>金沢市民</v>
      </c>
      <c r="K32" s="73" t="str">
        <f>IF(ソート!AY44="","",ソート!AY44)</f>
        <v>北陸大FPB</v>
      </c>
      <c r="L32" s="48"/>
      <c r="M32" s="36"/>
    </row>
    <row r="33" spans="1:13" ht="14.25" customHeight="1" x14ac:dyDescent="0.25">
      <c r="A33" s="32"/>
      <c r="B33" s="634">
        <v>5</v>
      </c>
      <c r="C33" s="641" t="str">
        <f>ソート!A45</f>
        <v>ヘミニス
金沢FC
1st</v>
      </c>
      <c r="D33" s="71" t="str">
        <f>IF(D35="","",ソート!C48&amp;" "&amp;MONTH(ソート!E48)&amp;"/"&amp;DAY(ソート!E48))</f>
        <v>⑦ 6/25</v>
      </c>
      <c r="E33" s="71" t="str">
        <f>IF(E35="","",ソート!J48&amp;" "&amp;MONTH(ソート!L48)&amp;"/"&amp;DAY(ソート!L48))</f>
        <v>⑥ 5/28</v>
      </c>
      <c r="F33" s="71" t="str">
        <f>IF(F35="","",ソート!Q48&amp;" "&amp;MONTH(ソート!S48)&amp;"/"&amp;DAY(ソート!S48))</f>
        <v>② 5/3</v>
      </c>
      <c r="G33" s="71" t="str">
        <f>IF(G35="","",ソート!X48&amp;" "&amp;MONTH(ソート!Z48)&amp;"/"&amp;DAY(ソート!Z48))</f>
        <v>① 4/29</v>
      </c>
      <c r="H33" s="45"/>
      <c r="I33" s="71" t="str">
        <f>IF(I35="","",ソート!AL48&amp;" "&amp;MONTH(ソート!AN48)&amp;"/"&amp;DAY(ソート!AN48))</f>
        <v>④ 5/15</v>
      </c>
      <c r="J33" s="71" t="str">
        <f>IF(J35="","",ソート!AS48&amp;" "&amp;MONTH(ソート!AU48)&amp;"/"&amp;DAY(ソート!AU48))</f>
        <v>⑤ 5/22</v>
      </c>
      <c r="K33" s="71" t="str">
        <f>IF(K35="","",ソート!AZ48&amp;" "&amp;MONTH(ソート!BB48)&amp;"/"&amp;DAY(ソート!BB48))</f>
        <v>③ 5/8</v>
      </c>
      <c r="L33" s="49"/>
    </row>
    <row r="34" spans="1:13" ht="14.25" customHeight="1" x14ac:dyDescent="0.25">
      <c r="A34" s="32"/>
      <c r="B34" s="635"/>
      <c r="C34" s="642"/>
      <c r="D34" s="72" t="str">
        <f>IF(D35="","",ソート!E45&amp;" "&amp;DBCS(ソート!B45)&amp;"－"&amp;DBCS(ソート!F45))</f>
        <v>△ ３－３</v>
      </c>
      <c r="E34" s="72" t="str">
        <f>IF(E35="","",ソート!L45&amp;" "&amp;DBCS(ソート!I45)&amp;"－"&amp;DBCS(ソート!M45))</f>
        <v>● ０－１</v>
      </c>
      <c r="F34" s="72" t="str">
        <f>IF(F35="","",ソート!S45&amp;" "&amp;DBCS(ソート!P45)&amp;"－"&amp;DBCS(ソート!T45))</f>
        <v>○ ３－１</v>
      </c>
      <c r="G34" s="72" t="str">
        <f>IF(G35="","",ソート!Z45&amp;" "&amp;DBCS(ソート!W45)&amp;"－"&amp;DBCS(ソート!AA45))</f>
        <v>○ ３－１</v>
      </c>
      <c r="H34" s="46"/>
      <c r="I34" s="72" t="str">
        <f>IF(I35="","",ソート!AN45&amp;" "&amp;DBCS(ソート!AK45)&amp;"－"&amp;DBCS(ソート!AO45))</f>
        <v>○ ３－０</v>
      </c>
      <c r="J34" s="72" t="str">
        <f>IF(J35="","",ソート!AU45&amp;" "&amp;DBCS(ソート!AR45)&amp;"－"&amp;DBCS(ソート!AV45))</f>
        <v>○ １－０</v>
      </c>
      <c r="K34" s="72" t="str">
        <f>IF(K35="","",ソート!BB45&amp;" "&amp;DBCS(ソート!AY45)&amp;"－"&amp;DBCS(ソート!BC45))</f>
        <v>○ ３－０</v>
      </c>
      <c r="L34" s="48"/>
      <c r="M34" s="36"/>
    </row>
    <row r="35" spans="1:13" ht="14.25" customHeight="1" x14ac:dyDescent="0.25">
      <c r="A35" s="32"/>
      <c r="B35" s="635"/>
      <c r="C35" s="642"/>
      <c r="D35" s="73" t="str">
        <f>IF(ソート!B49="","",ソート!B49)</f>
        <v>能登島Ｂ</v>
      </c>
      <c r="E35" s="73" t="str">
        <f>IF(ソート!I49="","",ソート!I49)</f>
        <v>金沢市民</v>
      </c>
      <c r="F35" s="73" t="str">
        <f>IF(ソート!P49="","",ソート!P49)</f>
        <v>金沢交流</v>
      </c>
      <c r="G35" s="73" t="str">
        <f>IF(ソート!W49="","",ソート!W49)</f>
        <v>能登島Ｂ</v>
      </c>
      <c r="H35" s="46"/>
      <c r="I35" s="73" t="str">
        <f>IF(ソート!AK49="","",ソート!AK49)</f>
        <v>かほく市S</v>
      </c>
      <c r="J35" s="73" t="str">
        <f>IF(ソート!AR49="","",ソート!AR49)</f>
        <v>加賀陸上</v>
      </c>
      <c r="K35" s="73" t="str">
        <f>IF(ソート!AY49="","",ソート!AY49)</f>
        <v>金沢交流</v>
      </c>
      <c r="L35" s="49"/>
    </row>
    <row r="36" spans="1:13" ht="14.25" customHeight="1" x14ac:dyDescent="0.25">
      <c r="A36" s="32"/>
      <c r="B36" s="635"/>
      <c r="C36" s="642"/>
      <c r="D36" s="71" t="str">
        <f>IF(D38="","",ソート!C53&amp;" "&amp;MONTH(ソート!E53)&amp;"/"&amp;DAY(ソート!E53))</f>
        <v>⑨ 7/30</v>
      </c>
      <c r="E36" s="71" t="str">
        <f>IF(E38="","",ソート!J53&amp;" "&amp;MONTH(ソート!L53)&amp;"/"&amp;DAY(ソート!L53))</f>
        <v>⑧ 7/23</v>
      </c>
      <c r="F36" s="71" t="str">
        <f>IF(F38="","",ソート!Q53&amp;" "&amp;MONTH(ソート!S53)&amp;"/"&amp;DAY(ソート!S53))</f>
        <v>② 10/16</v>
      </c>
      <c r="G36" s="71" t="str">
        <f>IF(G38="","",ソート!X53&amp;" "&amp;MONTH(ソート!Z53)&amp;"/"&amp;DAY(ソート!Z53))</f>
        <v>② 10/1</v>
      </c>
      <c r="H36" s="46"/>
      <c r="I36" s="71" t="str">
        <f>IF(I38="","",ソート!AL53&amp;" "&amp;MONTH(ソート!AN53)&amp;"/"&amp;DAY(ソート!AN53))</f>
        <v>② 11/3</v>
      </c>
      <c r="J36" s="71" t="str">
        <f>IF(J38="","",ソート!AS53&amp;" "&amp;MONTH(ソート!AU53)&amp;"/"&amp;DAY(ソート!AU53))</f>
        <v>② 9/4</v>
      </c>
      <c r="K36" s="71" t="str">
        <f>IF(K38="","",ソート!AZ53&amp;" "&amp;MONTH(ソート!BB53)&amp;"/"&amp;DAY(ソート!BB53))</f>
        <v>② 10/22</v>
      </c>
      <c r="L36" s="49"/>
    </row>
    <row r="37" spans="1:13" ht="14.25" customHeight="1" x14ac:dyDescent="0.25">
      <c r="A37" s="32"/>
      <c r="B37" s="635"/>
      <c r="C37" s="642"/>
      <c r="D37" s="72" t="str">
        <f>IF(D38="","",ソート!E50&amp;" "&amp;DBCS(ソート!B50)&amp;"－"&amp;DBCS(ソート!F50))</f>
        <v>● ０－９</v>
      </c>
      <c r="E37" s="72" t="str">
        <f>IF(E38="","",ソート!L50&amp;" "&amp;DBCS(ソート!I50)&amp;"－"&amp;DBCS(ソート!M50))</f>
        <v>● １－３</v>
      </c>
      <c r="F37" s="72" t="str">
        <f>IF(F38="","",ソート!S50&amp;" "&amp;DBCS(ソート!P50)&amp;"－"&amp;DBCS(ソート!T50))</f>
        <v xml:space="preserve"> －</v>
      </c>
      <c r="G37" s="72" t="str">
        <f>IF(G38="","",ソート!Z50&amp;" "&amp;DBCS(ソート!W50)&amp;"－"&amp;DBCS(ソート!AA50))</f>
        <v>● １－４</v>
      </c>
      <c r="H37" s="46"/>
      <c r="I37" s="72" t="str">
        <f>IF(I38="","",ソート!AN50&amp;" "&amp;DBCS(ソート!AK50)&amp;"－"&amp;DBCS(ソート!AO50))</f>
        <v xml:space="preserve"> －</v>
      </c>
      <c r="J37" s="72" t="str">
        <f>IF(J38="","",ソート!AU50&amp;" "&amp;DBCS(ソート!AR50)&amp;"－"&amp;DBCS(ソート!AV50))</f>
        <v>○ ４－１</v>
      </c>
      <c r="K37" s="72" t="str">
        <f>IF(K38="","",ソート!BB50&amp;" "&amp;DBCS(ソート!AY50)&amp;"－"&amp;DBCS(ソート!BC50))</f>
        <v xml:space="preserve"> －</v>
      </c>
      <c r="L37" s="49"/>
    </row>
    <row r="38" spans="1:13" ht="14.25" customHeight="1" x14ac:dyDescent="0.25">
      <c r="A38" s="32"/>
      <c r="B38" s="636"/>
      <c r="C38" s="643"/>
      <c r="D38" s="73" t="str">
        <f>IF(ソート!B54="","",ソート!B54)</f>
        <v>金沢市民</v>
      </c>
      <c r="E38" s="73" t="str">
        <f>IF(ソート!I54="","",ソート!I54)</f>
        <v>北陸大FPB</v>
      </c>
      <c r="F38" s="73" t="str">
        <f>IF(ソート!P54="","",ソート!P54)</f>
        <v>かほく市S</v>
      </c>
      <c r="G38" s="73" t="str">
        <f>IF(ソート!W54="","",ソート!W54)</f>
        <v>金沢市民</v>
      </c>
      <c r="H38" s="46"/>
      <c r="I38" s="73" t="str">
        <f>IF(ソート!AK54="","",ソート!AK54)</f>
        <v>金沢市民</v>
      </c>
      <c r="J38" s="73" t="str">
        <f>IF(ソート!AR54="","",ソート!AR54)</f>
        <v>小松市民</v>
      </c>
      <c r="K38" s="73" t="str">
        <f>IF(ソート!AY54="","",ソート!AY54)</f>
        <v>金沢交流</v>
      </c>
      <c r="L38" s="49"/>
    </row>
    <row r="39" spans="1:13" ht="14.25" customHeight="1" x14ac:dyDescent="0.25">
      <c r="A39" s="32"/>
      <c r="B39" s="634">
        <v>6</v>
      </c>
      <c r="C39" s="641" t="str">
        <f>ソート!A55</f>
        <v>Riopedra
加賀FC</v>
      </c>
      <c r="D39" s="71" t="str">
        <f>IF(D41="","",ソート!C58&amp;" "&amp;MONTH(ソート!E58)&amp;"/"&amp;DAY(ソート!E58))</f>
        <v>⑦ 7/3</v>
      </c>
      <c r="E39" s="71" t="str">
        <f>IF(E41="","",ソート!J58&amp;" "&amp;MONTH(ソート!L58)&amp;"/"&amp;DAY(ソート!L58))</f>
        <v>③ 5/7</v>
      </c>
      <c r="F39" s="71" t="str">
        <f>IF(F41="","",ソート!Q58&amp;" "&amp;MONTH(ソート!S58)&amp;"/"&amp;DAY(ソート!S58))</f>
        <v>① 4/29</v>
      </c>
      <c r="G39" s="71" t="str">
        <f>IF(G41="","",ソート!X58&amp;" "&amp;MONTH(ソート!Z58)&amp;"/"&amp;DAY(ソート!Z58))</f>
        <v>② 5/1</v>
      </c>
      <c r="H39" s="71" t="str">
        <f>IF(H41="","",ソート!AE58&amp;" "&amp;MONTH(ソート!AG58)&amp;"/"&amp;DAY(ソート!AG58))</f>
        <v>④ 5/15</v>
      </c>
      <c r="I39" s="45"/>
      <c r="J39" s="71" t="str">
        <f>IF(J41="","",ソート!AS58&amp;" "&amp;MONTH(ソート!AU58)&amp;"/"&amp;DAY(ソート!AU58))</f>
        <v>⑦ 6/25</v>
      </c>
      <c r="K39" s="71" t="str">
        <f>IF(K41="","",ソート!AZ58&amp;" "&amp;MONTH(ソート!BB58)&amp;"/"&amp;DAY(ソート!BB58))</f>
        <v>⑤ 5/22</v>
      </c>
      <c r="L39" s="48"/>
      <c r="M39" s="36"/>
    </row>
    <row r="40" spans="1:13" ht="14.25" customHeight="1" x14ac:dyDescent="0.25">
      <c r="A40" s="32"/>
      <c r="B40" s="635"/>
      <c r="C40" s="642"/>
      <c r="D40" s="72" t="str">
        <f>IF(D41="","",ソート!E55&amp;" "&amp;DBCS(ソート!B55)&amp;"－"&amp;DBCS(ソート!F55))</f>
        <v>● ０－３</v>
      </c>
      <c r="E40" s="72" t="str">
        <f>IF(E41="","",ソート!L55&amp;" "&amp;DBCS(ソート!I55)&amp;"－"&amp;DBCS(ソート!M55))</f>
        <v>● ０－７</v>
      </c>
      <c r="F40" s="72" t="str">
        <f>IF(F41="","",ソート!S55&amp;" "&amp;DBCS(ソート!P55)&amp;"－"&amp;DBCS(ソート!T55))</f>
        <v>● ０－１</v>
      </c>
      <c r="G40" s="72" t="str">
        <f>IF(G41="","",ソート!Z55&amp;" "&amp;DBCS(ソート!W55)&amp;"－"&amp;DBCS(ソート!AA55))</f>
        <v>● １－２</v>
      </c>
      <c r="H40" s="72" t="str">
        <f>IF(H41="","",ソート!AG55&amp;" "&amp;DBCS(ソート!AD55)&amp;"－"&amp;DBCS(ソート!AH55))</f>
        <v>● ０－３</v>
      </c>
      <c r="I40" s="46"/>
      <c r="J40" s="72" t="str">
        <f>IF(J41="","",ソート!AU55&amp;" "&amp;DBCS(ソート!AR55)&amp;"－"&amp;DBCS(ソート!AV55))</f>
        <v>○ １－０</v>
      </c>
      <c r="K40" s="72" t="str">
        <f>IF(K41="","",ソート!BB55&amp;" "&amp;DBCS(ソート!AY55)&amp;"－"&amp;DBCS(ソート!BC55))</f>
        <v>○ ３－１</v>
      </c>
      <c r="L40" s="49"/>
    </row>
    <row r="41" spans="1:13" ht="14.25" customHeight="1" x14ac:dyDescent="0.25">
      <c r="A41" s="32"/>
      <c r="B41" s="635"/>
      <c r="C41" s="642"/>
      <c r="D41" s="73" t="str">
        <f>IF(ソート!B59="","",ソート!B59)</f>
        <v>加賀陸上</v>
      </c>
      <c r="E41" s="73" t="str">
        <f>IF(ソート!I59="","",ソート!I59)</f>
        <v>金沢交流</v>
      </c>
      <c r="F41" s="73" t="str">
        <f>IF(ソート!P59="","",ソート!P59)</f>
        <v>星稜ｻｯｶｰ場</v>
      </c>
      <c r="G41" s="73" t="str">
        <f>IF(ソート!W59="","",ソート!W59)</f>
        <v>能登島Ｂ</v>
      </c>
      <c r="H41" s="73" t="str">
        <f>IF(ソート!AD59="","",ソート!AD59)</f>
        <v>かほく市S</v>
      </c>
      <c r="I41" s="46"/>
      <c r="J41" s="73" t="str">
        <f>IF(ソート!AR59="","",ソート!AR59)</f>
        <v>加賀陸上</v>
      </c>
      <c r="K41" s="73" t="str">
        <f>IF(ソート!AY59="","",ソート!AY59)</f>
        <v>加賀陸上</v>
      </c>
      <c r="L41" s="48"/>
      <c r="M41" s="36"/>
    </row>
    <row r="42" spans="1:13" ht="14.25" customHeight="1" x14ac:dyDescent="0.25">
      <c r="A42" s="32"/>
      <c r="B42" s="635"/>
      <c r="C42" s="642"/>
      <c r="D42" s="71" t="str">
        <f>IF(D44="","",ソート!C63&amp;" "&amp;MONTH(ソート!E63)&amp;"/"&amp;DAY(ソート!E63))</f>
        <v>② 10/16</v>
      </c>
      <c r="E42" s="71" t="str">
        <f>IF(E44="","",ソート!J63&amp;" "&amp;MONTH(ソート!L63)&amp;"/"&amp;DAY(ソート!L63))</f>
        <v>② 10/1</v>
      </c>
      <c r="F42" s="71" t="str">
        <f>IF(F44="","",ソート!Q63&amp;" "&amp;MONTH(ソート!S63)&amp;"/"&amp;DAY(ソート!S63))</f>
        <v>② 9/11</v>
      </c>
      <c r="G42" s="71" t="str">
        <f>IF(G44="","",ソート!X63&amp;" "&amp;MONTH(ソート!Z63)&amp;"/"&amp;DAY(ソート!Z63))</f>
        <v>⑨ 7/30</v>
      </c>
      <c r="H42" s="71" t="str">
        <f>IF(H44="","",ソート!AE63&amp;" "&amp;MONTH(ソート!AG63)&amp;"/"&amp;DAY(ソート!AG63))</f>
        <v>② 11/3</v>
      </c>
      <c r="I42" s="46"/>
      <c r="J42" s="71" t="str">
        <f>IF(J44="","",ソート!AS63&amp;" "&amp;MONTH(ソート!AU63)&amp;"/"&amp;DAY(ソート!AU63))</f>
        <v>② 10/30</v>
      </c>
      <c r="K42" s="71" t="str">
        <f>IF(K44="","",ソート!AZ63&amp;" "&amp;MONTH(ソート!BB63)&amp;"/"&amp;DAY(ソート!BB63))</f>
        <v>⑨ 8/6</v>
      </c>
      <c r="L42" s="48"/>
      <c r="M42" s="36"/>
    </row>
    <row r="43" spans="1:13" ht="14.25" customHeight="1" x14ac:dyDescent="0.25">
      <c r="A43" s="32"/>
      <c r="B43" s="635"/>
      <c r="C43" s="642"/>
      <c r="D43" s="72" t="str">
        <f>IF(D44="","",ソート!E60&amp;" "&amp;DBCS(ソート!B60)&amp;"－"&amp;DBCS(ソート!F60))</f>
        <v xml:space="preserve"> －</v>
      </c>
      <c r="E43" s="72" t="str">
        <f>IF(E44="","",ソート!L60&amp;" "&amp;DBCS(ソート!I60)&amp;"－"&amp;DBCS(ソート!M60))</f>
        <v>● ０－７</v>
      </c>
      <c r="F43" s="72" t="str">
        <f>IF(F44="","",ソート!S60&amp;" "&amp;DBCS(ソート!P60)&amp;"－"&amp;DBCS(ソート!T60))</f>
        <v>● １－３</v>
      </c>
      <c r="G43" s="72" t="str">
        <f>IF(G44="","",ソート!Z60&amp;" "&amp;DBCS(ソート!W60)&amp;"－"&amp;DBCS(ソート!AA60))</f>
        <v>● ０－２</v>
      </c>
      <c r="H43" s="72" t="str">
        <f>IF(H44="","",ソート!AG60&amp;" "&amp;DBCS(ソート!AD60)&amp;"－"&amp;DBCS(ソート!AH60))</f>
        <v xml:space="preserve"> －</v>
      </c>
      <c r="I43" s="46"/>
      <c r="J43" s="72" t="str">
        <f>IF(J44="","",ソート!AU60&amp;" "&amp;DBCS(ソート!AR60)&amp;"－"&amp;DBCS(ソート!AV60))</f>
        <v xml:space="preserve"> －</v>
      </c>
      <c r="K43" s="72" t="str">
        <f>IF(K44="","",ソート!BB60&amp;" "&amp;DBCS(ソート!AY60)&amp;"－"&amp;DBCS(ソート!BC60))</f>
        <v>△ １－１</v>
      </c>
      <c r="L43" s="48"/>
      <c r="M43" s="36"/>
    </row>
    <row r="44" spans="1:13" ht="14.25" customHeight="1" x14ac:dyDescent="0.25">
      <c r="A44" s="32"/>
      <c r="B44" s="636"/>
      <c r="C44" s="643"/>
      <c r="D44" s="73" t="str">
        <f>IF(ソート!B64="","",ソート!B64)</f>
        <v>かほく市S</v>
      </c>
      <c r="E44" s="73" t="str">
        <f>IF(ソート!I64="","",ソート!I64)</f>
        <v>金沢市民</v>
      </c>
      <c r="F44" s="73" t="str">
        <f>IF(ソート!P64="","",ソート!P64)</f>
        <v>加賀陸上</v>
      </c>
      <c r="G44" s="73" t="str">
        <f>IF(ソート!W64="","",ソート!W64)</f>
        <v>小松市民</v>
      </c>
      <c r="H44" s="73" t="str">
        <f>IF(ソート!AD64="","",ソート!AD64)</f>
        <v>金沢市民</v>
      </c>
      <c r="I44" s="46"/>
      <c r="J44" s="73" t="str">
        <f>IF(ソート!AR64="","",ソート!AR64)</f>
        <v>小松市民</v>
      </c>
      <c r="K44" s="73" t="str">
        <f>IF(ソート!AY64="","",ソート!AY64)</f>
        <v>金沢交流</v>
      </c>
      <c r="L44" s="48"/>
      <c r="M44" s="36"/>
    </row>
    <row r="45" spans="1:13" ht="14.25" customHeight="1" x14ac:dyDescent="0.25">
      <c r="A45" s="32"/>
      <c r="B45" s="634">
        <v>7</v>
      </c>
      <c r="C45" s="641" t="str">
        <f>ソート!A65</f>
        <v>FC小松
1st</v>
      </c>
      <c r="D45" s="71" t="str">
        <f>IF(D47="","",ソート!C68&amp;" "&amp;MONTH(ソート!E68)&amp;"/"&amp;DAY(ソート!E68))</f>
        <v>① 4/29</v>
      </c>
      <c r="E45" s="71" t="str">
        <f>IF(E47="","",ソート!J68&amp;" "&amp;MONTH(ソート!L68)&amp;"/"&amp;DAY(ソート!L68))</f>
        <v>② 5/3</v>
      </c>
      <c r="F45" s="71" t="str">
        <f>IF(F47="","",ソート!Q68&amp;" "&amp;MONTH(ソート!S68)&amp;"/"&amp;DAY(ソート!S68))</f>
        <v>③ 5/8</v>
      </c>
      <c r="G45" s="71" t="str">
        <f>IF(G47="","",ソート!X68&amp;" "&amp;MONTH(ソート!Z68)&amp;"/"&amp;DAY(ソート!Z68))</f>
        <v>⑥ 5/28</v>
      </c>
      <c r="H45" s="71" t="str">
        <f>IF(H47="","",ソート!AE68&amp;" "&amp;MONTH(ソート!AG68)&amp;"/"&amp;DAY(ソート!AG68))</f>
        <v>⑤ 5/22</v>
      </c>
      <c r="I45" s="71" t="str">
        <f>IF(I47="","",ソート!AL68&amp;" "&amp;MONTH(ソート!AN68)&amp;"/"&amp;DAY(ソート!AN68))</f>
        <v>⑦ 6/25</v>
      </c>
      <c r="J45" s="45"/>
      <c r="K45" s="71" t="str">
        <f>IF(K47="","",ソート!AZ68&amp;" "&amp;MONTH(ソート!BB68)&amp;"/"&amp;DAY(ソート!BB68))</f>
        <v>⑦ 7/2</v>
      </c>
      <c r="L45" s="49"/>
    </row>
    <row r="46" spans="1:13" ht="14.25" customHeight="1" x14ac:dyDescent="0.25">
      <c r="A46" s="32"/>
      <c r="B46" s="635"/>
      <c r="C46" s="642"/>
      <c r="D46" s="72" t="str">
        <f>IF(D47="","",ソート!E65&amp;" "&amp;DBCS(ソート!B65)&amp;"－"&amp;DBCS(ソート!F65))</f>
        <v>● ０－１</v>
      </c>
      <c r="E46" s="72" t="str">
        <f>IF(E47="","",ソート!L65&amp;" "&amp;DBCS(ソート!I65)&amp;"－"&amp;DBCS(ソート!M65))</f>
        <v>● ０－１０</v>
      </c>
      <c r="F46" s="72" t="str">
        <f>IF(F47="","",ソート!S65&amp;" "&amp;DBCS(ソート!P65)&amp;"－"&amp;DBCS(ソート!T65))</f>
        <v>● １－２</v>
      </c>
      <c r="G46" s="72" t="str">
        <f>IF(G47="","",ソート!Z65&amp;" "&amp;DBCS(ソート!W65)&amp;"－"&amp;DBCS(ソート!AA65))</f>
        <v>● １－２</v>
      </c>
      <c r="H46" s="72" t="str">
        <f>IF(H47="","",ソート!AG65&amp;" "&amp;DBCS(ソート!AD65)&amp;"－"&amp;DBCS(ソート!AH65))</f>
        <v>● ０－１</v>
      </c>
      <c r="I46" s="72" t="str">
        <f>IF(I47="","",ソート!AN65&amp;" "&amp;DBCS(ソート!AK65)&amp;"－"&amp;DBCS(ソート!AO65))</f>
        <v>● ０－１</v>
      </c>
      <c r="J46" s="46"/>
      <c r="K46" s="72" t="str">
        <f>IF(K47="","",ソート!BB65&amp;" "&amp;DBCS(ソート!AY65)&amp;"－"&amp;DBCS(ソート!BC65))</f>
        <v>○ ６－０</v>
      </c>
      <c r="L46" s="48"/>
      <c r="M46" s="36"/>
    </row>
    <row r="47" spans="1:13" ht="14.25" customHeight="1" x14ac:dyDescent="0.25">
      <c r="A47" s="32"/>
      <c r="B47" s="635"/>
      <c r="C47" s="642"/>
      <c r="D47" s="73" t="str">
        <f>IF(ソート!B69="","",ソート!B69)</f>
        <v>星稜ｻｯｶｰ場</v>
      </c>
      <c r="E47" s="73" t="str">
        <f>IF(ソート!I69="","",ソート!I69)</f>
        <v>金沢交流</v>
      </c>
      <c r="F47" s="73" t="str">
        <f>IF(ソート!P69="","",ソート!P69)</f>
        <v>金沢交流</v>
      </c>
      <c r="G47" s="73" t="str">
        <f>IF(ソート!W69="","",ソート!W69)</f>
        <v>金沢市民</v>
      </c>
      <c r="H47" s="73" t="str">
        <f>IF(ソート!AD69="","",ソート!AD69)</f>
        <v>加賀陸上</v>
      </c>
      <c r="I47" s="73" t="str">
        <f>IF(ソート!AK69="","",ソート!AK69)</f>
        <v>加賀陸上</v>
      </c>
      <c r="J47" s="46"/>
      <c r="K47" s="73" t="str">
        <f>IF(ソート!AY69="","",ソート!AY69)</f>
        <v>金沢市民</v>
      </c>
      <c r="L47" s="49"/>
    </row>
    <row r="48" spans="1:13" ht="14.25" customHeight="1" x14ac:dyDescent="0.25">
      <c r="A48" s="32"/>
      <c r="B48" s="635"/>
      <c r="C48" s="642"/>
      <c r="D48" s="71" t="str">
        <f>IF(D50="","",ソート!C73&amp;" "&amp;MONTH(ソート!E73)&amp;"/"&amp;DAY(ソート!E73))</f>
        <v>⑨ 8/6</v>
      </c>
      <c r="E48" s="71" t="str">
        <f>IF(E50="","",ソート!J73&amp;" "&amp;MONTH(ソート!L73)&amp;"/"&amp;DAY(ソート!L73))</f>
        <v>⑨ 7/30</v>
      </c>
      <c r="F48" s="71" t="str">
        <f>IF(F50="","",ソート!Q73&amp;" "&amp;MONTH(ソート!S73)&amp;"/"&amp;DAY(ソート!S73))</f>
        <v>② 10/2</v>
      </c>
      <c r="G48" s="71" t="str">
        <f>IF(G50="","",ソート!X73&amp;" "&amp;MONTH(ソート!Z73)&amp;"/"&amp;DAY(ソート!Z73))</f>
        <v>② 10/15</v>
      </c>
      <c r="H48" s="71" t="str">
        <f>IF(H50="","",ソート!AE73&amp;" "&amp;MONTH(ソート!AG73)&amp;"/"&amp;DAY(ソート!AG73))</f>
        <v>② 9/4</v>
      </c>
      <c r="I48" s="71" t="str">
        <f>IF(I50="","",ソート!AL73&amp;" "&amp;MONTH(ソート!AN73)&amp;"/"&amp;DAY(ソート!AN73))</f>
        <v>② 10/30</v>
      </c>
      <c r="J48" s="46"/>
      <c r="K48" s="404" t="str">
        <f>IF(K50="","",ソート!AZ73&amp;" "&amp;MONTH(ソート!BB73)&amp;"/"&amp;DAY(ソート!BB73))</f>
        <v>② 11/3</v>
      </c>
      <c r="L48" s="33"/>
    </row>
    <row r="49" spans="1:13" ht="14.25" customHeight="1" x14ac:dyDescent="0.25">
      <c r="A49" s="32"/>
      <c r="B49" s="635"/>
      <c r="C49" s="642"/>
      <c r="D49" s="72" t="str">
        <f>IF(D50="","",ソート!E70&amp;" "&amp;DBCS(ソート!B70)&amp;"－"&amp;DBCS(ソート!F70))</f>
        <v>● ０－４</v>
      </c>
      <c r="E49" s="72" t="str">
        <f>IF(E50="","",ソート!L70&amp;" "&amp;DBCS(ソート!I70)&amp;"－"&amp;DBCS(ソート!M70))</f>
        <v>● ０－３</v>
      </c>
      <c r="F49" s="72" t="str">
        <f>IF(F50="","",ソート!S70&amp;" "&amp;DBCS(ソート!P70)&amp;"－"&amp;DBCS(ソート!T70))</f>
        <v>● １－３</v>
      </c>
      <c r="G49" s="72" t="str">
        <f>IF(G50="","",ソート!Z70&amp;" "&amp;DBCS(ソート!W70)&amp;"－"&amp;DBCS(ソート!AA70))</f>
        <v xml:space="preserve"> －</v>
      </c>
      <c r="H49" s="72" t="str">
        <f>IF(H50="","",ソート!AG70&amp;" "&amp;DBCS(ソート!AD70)&amp;"－"&amp;DBCS(ソート!AH70))</f>
        <v>● １－４</v>
      </c>
      <c r="I49" s="72" t="str">
        <f>IF(I50="","",ソート!AN70&amp;" "&amp;DBCS(ソート!AK70)&amp;"－"&amp;DBCS(ソート!AO70))</f>
        <v xml:space="preserve"> －</v>
      </c>
      <c r="J49" s="46"/>
      <c r="K49" s="405" t="str">
        <f>IF(K50="","",ソート!BB70&amp;" "&amp;DBCS(ソート!AY70)&amp;"－"&amp;DBCS(ソート!BC70))</f>
        <v xml:space="preserve"> －</v>
      </c>
      <c r="L49" s="33"/>
    </row>
    <row r="50" spans="1:13" ht="14.25" customHeight="1" x14ac:dyDescent="0.25">
      <c r="A50" s="32"/>
      <c r="B50" s="636"/>
      <c r="C50" s="643"/>
      <c r="D50" s="73" t="str">
        <f>IF(ソート!B74="","",ソート!B74)</f>
        <v>金沢交流</v>
      </c>
      <c r="E50" s="73" t="str">
        <f>IF(ソート!I74="","",ソート!I74)</f>
        <v>小松市民</v>
      </c>
      <c r="F50" s="73" t="str">
        <f>IF(ソート!P74="","",ソート!P74)</f>
        <v>かほく市S</v>
      </c>
      <c r="G50" s="73" t="str">
        <f>IF(ソート!W74="","",ソート!W74)</f>
        <v>金沢市民</v>
      </c>
      <c r="H50" s="73" t="str">
        <f>IF(ソート!AD74="","",ソート!AD74)</f>
        <v>小松市民</v>
      </c>
      <c r="I50" s="73" t="str">
        <f>IF(ソート!AK74="","",ソート!AK74)</f>
        <v>小松市民</v>
      </c>
      <c r="J50" s="46"/>
      <c r="K50" s="406" t="str">
        <f>IF(ソート!AY74="","",ソート!AY74)</f>
        <v>星稜ｻｯｶｰ場</v>
      </c>
      <c r="L50" s="33"/>
    </row>
    <row r="51" spans="1:13" ht="14.25" customHeight="1" x14ac:dyDescent="0.25">
      <c r="A51" s="32"/>
      <c r="B51" s="634">
        <v>8</v>
      </c>
      <c r="C51" s="641" t="str">
        <f>ソート!A75</f>
        <v>テイヘンズ
FC　1st</v>
      </c>
      <c r="D51" s="71" t="str">
        <f>IF(D53="","",ソート!C78&amp;" "&amp;MONTH(ソート!E78)&amp;"/"&amp;DAY(ソート!E78))</f>
        <v>② 5/1</v>
      </c>
      <c r="E51" s="71" t="str">
        <f>IF(E53="","",ソート!J78&amp;" "&amp;MONTH(ソート!L78)&amp;"/"&amp;DAY(ソート!L78))</f>
        <v>① 4/29</v>
      </c>
      <c r="F51" s="71" t="str">
        <f>IF(F53="","",ソート!Q78&amp;" "&amp;MONTH(ソート!S78)&amp;"/"&amp;DAY(ソート!S78))</f>
        <v>⑦ 7/9</v>
      </c>
      <c r="G51" s="71" t="str">
        <f>IF(G53="","",ソート!X78&amp;" "&amp;MONTH(ソート!Z78)&amp;"/"&amp;DAY(ソート!Z78))</f>
        <v>④ 5/14</v>
      </c>
      <c r="H51" s="71" t="str">
        <f>IF(H53="","",ソート!AE78&amp;" "&amp;MONTH(ソート!AG78)&amp;"/"&amp;DAY(ソート!AG78))</f>
        <v>③ 5/8</v>
      </c>
      <c r="I51" s="71" t="str">
        <f>IF(I53="","",ソート!AL78&amp;" "&amp;MONTH(ソート!AN78)&amp;"/"&amp;DAY(ソート!AN78))</f>
        <v>⑤ 5/22</v>
      </c>
      <c r="J51" s="71" t="str">
        <f>IF(J53="","",ソート!AS78&amp;" "&amp;MONTH(ソート!AU78)&amp;"/"&amp;DAY(ソート!AU78))</f>
        <v>⑦ 7/2</v>
      </c>
      <c r="K51" s="112"/>
      <c r="L51" s="33"/>
    </row>
    <row r="52" spans="1:13" ht="14.25" customHeight="1" x14ac:dyDescent="0.25">
      <c r="A52" s="32"/>
      <c r="B52" s="635"/>
      <c r="C52" s="642"/>
      <c r="D52" s="72" t="str">
        <f>IF(D53="","",ソート!E75&amp;" "&amp;DBCS(ソート!B75)&amp;"－"&amp;DBCS(ソート!F75))</f>
        <v>● ０－１０</v>
      </c>
      <c r="E52" s="72" t="str">
        <f>IF(E53="","",ソート!L75&amp;" "&amp;DBCS(ソート!I75)&amp;"－"&amp;DBCS(ソート!M75))</f>
        <v>● １－８</v>
      </c>
      <c r="F52" s="72" t="str">
        <f>IF(F53="","",ソート!S75&amp;" "&amp;DBCS(ソート!P75)&amp;"－"&amp;DBCS(ソート!T75))</f>
        <v>● ０－９</v>
      </c>
      <c r="G52" s="72" t="str">
        <f>IF(G53="","",ソート!Z75&amp;" "&amp;DBCS(ソート!W75)&amp;"－"&amp;DBCS(ソート!AA75))</f>
        <v>● ０－５</v>
      </c>
      <c r="H52" s="72" t="str">
        <f>IF(H53="","",ソート!AG75&amp;" "&amp;DBCS(ソート!AD75)&amp;"－"&amp;DBCS(ソート!AH75))</f>
        <v>● ０－３</v>
      </c>
      <c r="I52" s="72" t="str">
        <f>IF(I53="","",ソート!AN75&amp;" "&amp;DBCS(ソート!AK75)&amp;"－"&amp;DBCS(ソート!AO75))</f>
        <v>● １－３</v>
      </c>
      <c r="J52" s="72" t="str">
        <f>IF(J53="","",ソート!AU75&amp;" "&amp;DBCS(ソート!AR75)&amp;"－"&amp;DBCS(ソート!AV75))</f>
        <v>● ０－６</v>
      </c>
      <c r="K52" s="113"/>
      <c r="L52" s="33"/>
    </row>
    <row r="53" spans="1:13" ht="14.25" customHeight="1" x14ac:dyDescent="0.25">
      <c r="A53" s="32"/>
      <c r="B53" s="635"/>
      <c r="C53" s="642"/>
      <c r="D53" s="73" t="str">
        <f>IF(ソート!B79="","",ソート!B79)</f>
        <v>能登島Ｂ</v>
      </c>
      <c r="E53" s="73" t="str">
        <f>IF(ソート!I79="","",ソート!I79)</f>
        <v>能登島Ｂ</v>
      </c>
      <c r="F53" s="73" t="str">
        <f>IF(ソート!P79="","",ソート!P79)</f>
        <v>星稜ｻｯｶｰ場</v>
      </c>
      <c r="G53" s="73" t="str">
        <f>IF(ソート!W79="","",ソート!W79)</f>
        <v>金沢交流</v>
      </c>
      <c r="H53" s="73" t="str">
        <f>IF(ソート!AD79="","",ソート!AD79)</f>
        <v>金沢交流</v>
      </c>
      <c r="I53" s="73" t="str">
        <f>IF(ソート!AK79="","",ソート!AK79)</f>
        <v>加賀陸上</v>
      </c>
      <c r="J53" s="73" t="str">
        <f>IF(ソート!AR79="","",ソート!AR79)</f>
        <v>金沢市民</v>
      </c>
      <c r="K53" s="113"/>
      <c r="L53" s="33"/>
    </row>
    <row r="54" spans="1:13" ht="14.25" customHeight="1" x14ac:dyDescent="0.25">
      <c r="A54" s="32"/>
      <c r="B54" s="635"/>
      <c r="C54" s="642"/>
      <c r="D54" s="71" t="str">
        <f>IF(D56="","",ソート!C83&amp;" "&amp;MONTH(ソート!E83)&amp;"/"&amp;DAY(ソート!E83))</f>
        <v>② 10/2</v>
      </c>
      <c r="E54" s="71" t="str">
        <f>IF(E56="","",ソート!J83&amp;" "&amp;MONTH(ソート!L83)&amp;"/"&amp;DAY(ソート!L83))</f>
        <v>② 10/15</v>
      </c>
      <c r="F54" s="71" t="str">
        <f>IF(F56="","",ソート!Q83&amp;" "&amp;MONTH(ソート!S83)&amp;"/"&amp;DAY(ソート!S83))</f>
        <v>② 9/4</v>
      </c>
      <c r="G54" s="71" t="str">
        <f>IF(G56="","",ソート!X83&amp;" "&amp;MONTH(ソート!Z83)&amp;"/"&amp;DAY(ソート!Z83))</f>
        <v>⑧ 7/23</v>
      </c>
      <c r="H54" s="71" t="str">
        <f>IF(H56="","",ソート!AE83&amp;" "&amp;MONTH(ソート!AG83)&amp;"/"&amp;DAY(ソート!AG83))</f>
        <v>② 10/22</v>
      </c>
      <c r="I54" s="71" t="str">
        <f>IF(I56="","",ソート!AL83&amp;" "&amp;MONTH(ソート!AN83)&amp;"/"&amp;DAY(ソート!AN83))</f>
        <v>⑨ 8/6</v>
      </c>
      <c r="J54" s="71" t="str">
        <f>IF(J56="","",ソート!AS83&amp;" "&amp;MONTH(ソート!AU83)&amp;"/"&amp;DAY(ソート!AU83))</f>
        <v>② 11/3</v>
      </c>
      <c r="K54" s="113"/>
      <c r="L54" s="33"/>
    </row>
    <row r="55" spans="1:13" ht="14.25" customHeight="1" x14ac:dyDescent="0.25">
      <c r="A55" s="32"/>
      <c r="B55" s="635"/>
      <c r="C55" s="642"/>
      <c r="D55" s="72" t="str">
        <f>IF(D56="","",ソート!E80&amp;" "&amp;DBCS(ソート!B80)&amp;"－"&amp;DBCS(ソート!F80))</f>
        <v>● ０－１６</v>
      </c>
      <c r="E55" s="72" t="str">
        <f>IF(E56="","",ソート!L80&amp;" "&amp;DBCS(ソート!I80)&amp;"－"&amp;DBCS(ソート!M80))</f>
        <v xml:space="preserve"> －</v>
      </c>
      <c r="F55" s="72" t="str">
        <f>IF(F56="","",ソート!S80&amp;" "&amp;DBCS(ソート!P80)&amp;"－"&amp;DBCS(ソート!T80))</f>
        <v>● １－８</v>
      </c>
      <c r="G55" s="72" t="str">
        <f>IF(G56="","",ソート!Z80&amp;" "&amp;DBCS(ソート!W80)&amp;"－"&amp;DBCS(ソート!AA80))</f>
        <v>● ０－５</v>
      </c>
      <c r="H55" s="72" t="str">
        <f>IF(H56="","",ソート!AG80&amp;" "&amp;DBCS(ソート!AD80)&amp;"－"&amp;DBCS(ソート!AH80))</f>
        <v xml:space="preserve"> －</v>
      </c>
      <c r="I55" s="72" t="str">
        <f>IF(I56="","",ソート!AN80&amp;" "&amp;DBCS(ソート!AK80)&amp;"－"&amp;DBCS(ソート!AO80))</f>
        <v>△ １－１</v>
      </c>
      <c r="J55" s="72" t="str">
        <f>IF(J56="","",ソート!AU80&amp;" "&amp;DBCS(ソート!AR80)&amp;"－"&amp;DBCS(ソート!AV80))</f>
        <v xml:space="preserve"> －</v>
      </c>
      <c r="K55" s="113"/>
      <c r="L55" s="33"/>
    </row>
    <row r="56" spans="1:13" ht="14.25" customHeight="1" thickBot="1" x14ac:dyDescent="0.3">
      <c r="A56" s="32"/>
      <c r="B56" s="645"/>
      <c r="C56" s="644"/>
      <c r="D56" s="73" t="str">
        <f>IF(ソート!B84="","",ソート!B84)</f>
        <v>かほく市S</v>
      </c>
      <c r="E56" s="73" t="str">
        <f>IF(ソート!I84="","",ソート!I84)</f>
        <v>金沢市民</v>
      </c>
      <c r="F56" s="73" t="str">
        <f>IF(ソート!P84="","",ソート!P84)</f>
        <v>小松市民</v>
      </c>
      <c r="G56" s="73" t="str">
        <f>IF(ソート!W84="","",ソート!W84)</f>
        <v>北陸大FPB</v>
      </c>
      <c r="H56" s="73" t="str">
        <f>IF(ソート!AD84="","",ソート!AD84)</f>
        <v>金沢交流</v>
      </c>
      <c r="I56" s="73" t="str">
        <f>IF(ソート!AK84="","",ソート!AK84)</f>
        <v>金沢交流</v>
      </c>
      <c r="J56" s="73" t="str">
        <f>IF(ソート!AR84="","",ソート!AR84)</f>
        <v>星稜ｻｯｶｰ場</v>
      </c>
      <c r="K56" s="407"/>
      <c r="L56" s="33"/>
    </row>
    <row r="57" spans="1:13" x14ac:dyDescent="0.25">
      <c r="A57" s="32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33"/>
    </row>
    <row r="58" spans="1:13" ht="13.15" thickBot="1" x14ac:dyDescent="0.3">
      <c r="A58" s="32"/>
      <c r="C58" s="76" t="s">
        <v>230</v>
      </c>
      <c r="L58" s="35"/>
      <c r="M58" s="36"/>
    </row>
    <row r="59" spans="1:13" ht="16.5" customHeight="1" x14ac:dyDescent="0.25">
      <c r="A59" s="32"/>
      <c r="C59" s="348" t="s">
        <v>231</v>
      </c>
      <c r="D59" s="143"/>
      <c r="E59" s="143"/>
      <c r="F59" s="143"/>
      <c r="G59" s="143"/>
      <c r="H59" s="143"/>
      <c r="I59" s="143"/>
      <c r="J59" s="143"/>
      <c r="K59" s="144"/>
      <c r="L59" s="130"/>
    </row>
    <row r="60" spans="1:13" ht="16.5" customHeight="1" x14ac:dyDescent="0.25">
      <c r="A60" s="32"/>
      <c r="C60" s="125"/>
      <c r="D60" s="145"/>
      <c r="E60" s="145"/>
      <c r="F60" s="145"/>
      <c r="G60" s="145"/>
      <c r="H60" s="145"/>
      <c r="I60" s="145"/>
      <c r="J60" s="145"/>
      <c r="K60" s="146"/>
      <c r="L60" s="130"/>
    </row>
    <row r="61" spans="1:13" ht="16.5" customHeight="1" x14ac:dyDescent="0.25">
      <c r="A61" s="32"/>
      <c r="C61" s="125"/>
      <c r="D61" s="145"/>
      <c r="E61" s="145"/>
      <c r="F61" s="145"/>
      <c r="G61" s="145"/>
      <c r="H61" s="145"/>
      <c r="I61" s="145"/>
      <c r="J61" s="145"/>
      <c r="K61" s="146"/>
      <c r="L61" s="130"/>
    </row>
    <row r="62" spans="1:13" ht="16.5" customHeight="1" thickBot="1" x14ac:dyDescent="0.3">
      <c r="A62" s="32"/>
      <c r="C62" s="124"/>
      <c r="D62" s="147"/>
      <c r="E62" s="147"/>
      <c r="F62" s="147"/>
      <c r="G62" s="147"/>
      <c r="H62" s="147"/>
      <c r="I62" s="147"/>
      <c r="J62" s="147"/>
      <c r="K62" s="148"/>
      <c r="L62" s="130"/>
    </row>
    <row r="63" spans="1:13" ht="15.75" customHeight="1" x14ac:dyDescent="0.25">
      <c r="A63" s="42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4"/>
      <c r="M63" s="36"/>
    </row>
  </sheetData>
  <sheetProtection formatCells="0"/>
  <protectedRanges>
    <protectedRange password="C4D3" sqref="K51:K56 J45:J50 I39:I44 H33:H38 G27:G32 F21:F26 E15:E20 D9:D14" name="関数データ保護"/>
    <protectedRange password="C4D3" sqref="D40:H40 D34:G34 K46 D28:F28 D22:E22 D46:I46 I34:K34 D16 D52:J52 G22:K22 E10:K10 F16:K16 H28:K28 J40:K40 E13:K13 F19:K19 G25:K25 D19 D25:E25 H31:K31 D31:F31 I37:K37 D37:G37 J43:K43 D43:H43 D49:I49 K49 D55:J55" name="関数データ保護_3_1"/>
    <protectedRange password="C4D3" sqref="D33:G33 D15 D39:H39 D45:I45 I33:K33 D27:F27 D51:J51 K45 H27:K27 D21:E21 E9:K9 F15:K15 G21:K21 J39:K39 E12:K12 F18:K18 G24:K24 D18 D24:E24 H30:K30 D30:F30 I36:K36 D36:G36 J42:K42 D42:H42 D48:I48 K48 D54:J54" name="関数データ保護_3_2"/>
  </protectedRanges>
  <mergeCells count="19">
    <mergeCell ref="C51:C56"/>
    <mergeCell ref="B51:B56"/>
    <mergeCell ref="B45:B50"/>
    <mergeCell ref="C39:C44"/>
    <mergeCell ref="C45:C50"/>
    <mergeCell ref="B39:B44"/>
    <mergeCell ref="C33:C38"/>
    <mergeCell ref="B33:B38"/>
    <mergeCell ref="B15:B20"/>
    <mergeCell ref="B27:B32"/>
    <mergeCell ref="C27:C32"/>
    <mergeCell ref="C21:C23"/>
    <mergeCell ref="C15:C20"/>
    <mergeCell ref="B9:B14"/>
    <mergeCell ref="B21:B26"/>
    <mergeCell ref="M3:M4"/>
    <mergeCell ref="B8:C8"/>
    <mergeCell ref="D6:K6"/>
    <mergeCell ref="C9:C14"/>
  </mergeCells>
  <phoneticPr fontId="2"/>
  <printOptions horizontalCentered="1"/>
  <pageMargins left="0.59055118110236227" right="0.39370078740157483" top="0.78740157480314965" bottom="0.55118110236220474" header="0.51181102362204722" footer="0.51181102362204722"/>
  <pageSetup paperSize="9" scale="82" orientation="portrait" horizontalDpi="300" verticalDpi="300" r:id="rId1"/>
  <headerFooter alignWithMargins="0">
    <oddHeader>&amp;R&amp;14報告②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56"/>
  <sheetViews>
    <sheetView view="pageBreakPreview" zoomScaleNormal="100" zoomScaleSheetLayoutView="100" workbookViewId="0">
      <selection activeCell="E21" sqref="E21"/>
    </sheetView>
  </sheetViews>
  <sheetFormatPr defaultRowHeight="12.75" x14ac:dyDescent="0.25"/>
  <cols>
    <col min="1" max="1" width="2.3984375" customWidth="1"/>
    <col min="2" max="2" width="10.1328125" customWidth="1"/>
    <col min="3" max="3" width="16.1328125" customWidth="1"/>
    <col min="4" max="4" width="6.73046875" customWidth="1"/>
    <col min="5" max="5" width="13.3984375" customWidth="1"/>
    <col min="6" max="7" width="6.265625" customWidth="1"/>
    <col min="8" max="8" width="25.3984375" customWidth="1"/>
    <col min="10" max="10" width="6.265625" customWidth="1"/>
    <col min="11" max="11" width="23.73046875" customWidth="1"/>
  </cols>
  <sheetData>
    <row r="1" spans="1:11" x14ac:dyDescent="0.25">
      <c r="D1" s="157"/>
    </row>
    <row r="2" spans="1:11" ht="21" customHeight="1" x14ac:dyDescent="0.25">
      <c r="B2" s="315" t="s">
        <v>232</v>
      </c>
      <c r="E2" s="157" t="s">
        <v>233</v>
      </c>
    </row>
    <row r="3" spans="1:11" ht="12.75" customHeight="1" x14ac:dyDescent="0.25">
      <c r="B3" s="315"/>
      <c r="C3" s="149"/>
      <c r="D3" s="149"/>
      <c r="E3" s="149" t="s">
        <v>234</v>
      </c>
      <c r="F3" s="149"/>
      <c r="G3" s="149"/>
      <c r="H3" s="149"/>
    </row>
    <row r="4" spans="1:11" x14ac:dyDescent="0.25">
      <c r="A4" s="150"/>
      <c r="B4" s="151" t="s">
        <v>43</v>
      </c>
      <c r="C4" s="151" t="s">
        <v>235</v>
      </c>
      <c r="D4" s="151" t="s">
        <v>236</v>
      </c>
      <c r="E4" s="151" t="s">
        <v>237</v>
      </c>
      <c r="F4" s="155" t="s">
        <v>238</v>
      </c>
      <c r="G4" s="151" t="s">
        <v>239</v>
      </c>
      <c r="H4" s="152" t="s">
        <v>240</v>
      </c>
      <c r="J4" s="323"/>
      <c r="K4" s="321"/>
    </row>
    <row r="5" spans="1:11" x14ac:dyDescent="0.25">
      <c r="B5" s="390">
        <v>42489</v>
      </c>
      <c r="C5" s="386" t="s">
        <v>241</v>
      </c>
      <c r="D5" s="316">
        <v>18</v>
      </c>
      <c r="E5" s="316" t="s">
        <v>242</v>
      </c>
      <c r="F5" s="389">
        <f>IF(D5="","",COUNTIF(E$5:E5,E5))</f>
        <v>1</v>
      </c>
      <c r="G5" s="316"/>
      <c r="H5" s="291"/>
      <c r="J5" s="322">
        <f>編成!B16</f>
        <v>42489</v>
      </c>
      <c r="K5" s="321" t="str">
        <f>編成!AK4</f>
        <v>ツエーゲン
金沢U-15
1st</v>
      </c>
    </row>
    <row r="6" spans="1:11" x14ac:dyDescent="0.25">
      <c r="B6" s="391">
        <v>42504</v>
      </c>
      <c r="C6" s="392" t="s">
        <v>243</v>
      </c>
      <c r="D6" s="317">
        <v>1</v>
      </c>
      <c r="E6" s="317" t="s">
        <v>244</v>
      </c>
      <c r="F6" s="388">
        <f>IF(D6="","",COUNTIF(E$5:E6,E6))</f>
        <v>1</v>
      </c>
      <c r="G6" s="317"/>
      <c r="H6" s="292"/>
      <c r="J6" s="322">
        <f>編成!B17</f>
        <v>42491</v>
      </c>
      <c r="K6" s="321" t="str">
        <f>編成!AK5</f>
        <v>セブン能登
1st</v>
      </c>
    </row>
    <row r="7" spans="1:11" x14ac:dyDescent="0.25">
      <c r="B7" s="391">
        <v>42512</v>
      </c>
      <c r="C7" s="392" t="s">
        <v>241</v>
      </c>
      <c r="D7" s="317">
        <v>6</v>
      </c>
      <c r="E7" s="317" t="s">
        <v>245</v>
      </c>
      <c r="F7" s="388">
        <f>IF(D7="","",COUNTIF(E$5:E7,E7))</f>
        <v>1</v>
      </c>
      <c r="G7" s="317"/>
      <c r="H7" s="292"/>
      <c r="J7" s="322">
        <f>編成!B18</f>
        <v>42497</v>
      </c>
      <c r="K7" s="321" t="str">
        <f>編成!AK6</f>
        <v>星稜中学校</v>
      </c>
    </row>
    <row r="8" spans="1:11" x14ac:dyDescent="0.25">
      <c r="B8" s="391">
        <v>42518</v>
      </c>
      <c r="C8" s="392" t="s">
        <v>246</v>
      </c>
      <c r="D8" s="317">
        <v>10</v>
      </c>
      <c r="E8" s="317" t="s">
        <v>247</v>
      </c>
      <c r="F8" s="388">
        <f>IF(D8="","",COUNTIF(E$5:E8,E8))</f>
        <v>1</v>
      </c>
      <c r="G8" s="317"/>
      <c r="H8" s="292"/>
      <c r="J8" s="322">
        <f>編成!B19</f>
        <v>42498</v>
      </c>
      <c r="K8" s="321" t="str">
        <f>編成!AK7</f>
        <v>Riopedra
加賀FC</v>
      </c>
    </row>
    <row r="9" spans="1:11" x14ac:dyDescent="0.25">
      <c r="B9" s="391">
        <v>42518</v>
      </c>
      <c r="C9" s="392" t="s">
        <v>248</v>
      </c>
      <c r="D9" s="317"/>
      <c r="E9" s="317" t="s">
        <v>249</v>
      </c>
      <c r="F9" s="388">
        <f>IF(E9="","",COUNTIF(E$5:E9,E9))</f>
        <v>1</v>
      </c>
      <c r="G9" s="317"/>
      <c r="J9" s="322">
        <f>編成!B20</f>
        <v>42504</v>
      </c>
      <c r="K9" s="321" t="str">
        <f>編成!AK8</f>
        <v>FC小松
1st</v>
      </c>
    </row>
    <row r="10" spans="1:11" x14ac:dyDescent="0.25">
      <c r="B10" s="412">
        <v>42546</v>
      </c>
      <c r="C10" s="413" t="s">
        <v>243</v>
      </c>
      <c r="D10" s="317">
        <v>9</v>
      </c>
      <c r="E10" s="317" t="s">
        <v>250</v>
      </c>
      <c r="F10" s="388">
        <f>IF(E10="","",COUNTIF(E$5:E10,E10))</f>
        <v>1</v>
      </c>
      <c r="G10" s="317"/>
      <c r="H10" s="292"/>
      <c r="J10" s="322">
        <f>編成!B21</f>
        <v>42505</v>
      </c>
      <c r="K10" s="321" t="str">
        <f>編成!AK9</f>
        <v>FC.
SOUTHERN
1st</v>
      </c>
    </row>
    <row r="11" spans="1:11" x14ac:dyDescent="0.25">
      <c r="B11" s="412">
        <v>42553</v>
      </c>
      <c r="C11" s="413" t="s">
        <v>251</v>
      </c>
      <c r="D11" s="317">
        <v>8</v>
      </c>
      <c r="E11" s="317" t="s">
        <v>252</v>
      </c>
      <c r="F11" s="388">
        <f>IF(E11="","",COUNTIF(E$5:E11,E11))</f>
        <v>1</v>
      </c>
      <c r="G11" s="317"/>
      <c r="H11" s="292"/>
      <c r="J11" s="322">
        <f>編成!B22</f>
        <v>42511</v>
      </c>
      <c r="K11" s="321" t="str">
        <f>編成!AK10</f>
        <v>ヘミニス
金沢FC
1st</v>
      </c>
    </row>
    <row r="12" spans="1:11" x14ac:dyDescent="0.25">
      <c r="B12" s="412">
        <v>42554</v>
      </c>
      <c r="C12" s="413" t="s">
        <v>253</v>
      </c>
      <c r="D12" s="317">
        <v>5</v>
      </c>
      <c r="E12" s="317" t="s">
        <v>254</v>
      </c>
      <c r="F12" s="388">
        <f>IF(E12="","",COUNTIF(E$5:E12,E12))</f>
        <v>1</v>
      </c>
      <c r="G12" s="317"/>
      <c r="H12" s="292"/>
      <c r="J12" s="322">
        <f>編成!B23</f>
        <v>42512</v>
      </c>
      <c r="K12" s="321" t="str">
        <f>編成!AK11</f>
        <v>テイヘンズ
FC　1st</v>
      </c>
    </row>
    <row r="13" spans="1:11" x14ac:dyDescent="0.25">
      <c r="B13" s="412">
        <v>42554</v>
      </c>
      <c r="C13" s="413" t="s">
        <v>243</v>
      </c>
      <c r="D13" s="317">
        <v>27</v>
      </c>
      <c r="E13" s="317" t="s">
        <v>255</v>
      </c>
      <c r="F13" s="388">
        <f>IF(E13="","",COUNTIF(E$5:E13,E13))</f>
        <v>1</v>
      </c>
      <c r="G13" s="317"/>
      <c r="H13" s="292"/>
      <c r="J13" s="322">
        <f>編成!B24</f>
        <v>42518</v>
      </c>
    </row>
    <row r="14" spans="1:11" x14ac:dyDescent="0.25">
      <c r="B14" s="412">
        <v>42574</v>
      </c>
      <c r="C14" s="413" t="s">
        <v>256</v>
      </c>
      <c r="D14" s="317"/>
      <c r="E14" s="317" t="s">
        <v>257</v>
      </c>
      <c r="F14" s="388">
        <f>IF(E14="","",COUNTIF(E$5:E14,E14))</f>
        <v>1</v>
      </c>
      <c r="G14" s="317"/>
      <c r="H14" s="292"/>
      <c r="J14" s="322">
        <f>編成!B25</f>
        <v>42519</v>
      </c>
    </row>
    <row r="15" spans="1:11" x14ac:dyDescent="0.25">
      <c r="B15" s="412">
        <v>42617</v>
      </c>
      <c r="C15" s="413" t="s">
        <v>241</v>
      </c>
      <c r="D15" s="317">
        <v>7</v>
      </c>
      <c r="E15" s="317" t="s">
        <v>258</v>
      </c>
      <c r="F15" s="388">
        <f>IF(E15="","",COUNTIF(E$5:E15,E15))</f>
        <v>1</v>
      </c>
      <c r="G15" s="317"/>
      <c r="H15" s="292"/>
      <c r="J15" s="322">
        <f>編成!B26</f>
        <v>42525</v>
      </c>
    </row>
    <row r="16" spans="1:11" x14ac:dyDescent="0.25">
      <c r="B16" s="391"/>
      <c r="C16" s="392"/>
      <c r="D16" s="317"/>
      <c r="E16" s="317"/>
      <c r="F16" s="388" t="str">
        <f>IF(E16="","",COUNTIF(E$5:E16,E16))</f>
        <v/>
      </c>
      <c r="G16" s="317"/>
      <c r="H16" s="292"/>
      <c r="J16" s="322">
        <f>編成!B27</f>
        <v>42526</v>
      </c>
      <c r="K16" s="359" t="s">
        <v>259</v>
      </c>
    </row>
    <row r="17" spans="2:10" x14ac:dyDescent="0.25">
      <c r="B17" s="391"/>
      <c r="C17" s="392"/>
      <c r="D17" s="317"/>
      <c r="E17" s="319"/>
      <c r="F17" s="388" t="str">
        <f>IF(E17="","",COUNTIF(E$5:E17,E17))</f>
        <v/>
      </c>
      <c r="G17" s="317"/>
      <c r="H17" s="292"/>
      <c r="J17" s="322">
        <f>編成!B28</f>
        <v>42532</v>
      </c>
    </row>
    <row r="18" spans="2:10" x14ac:dyDescent="0.25">
      <c r="B18" s="391"/>
      <c r="C18" s="392"/>
      <c r="D18" s="317"/>
      <c r="E18" s="319"/>
      <c r="F18" s="388" t="str">
        <f>IF(E18="","",COUNTIF(E$5:E18,E18))</f>
        <v/>
      </c>
      <c r="G18" s="317"/>
      <c r="H18" s="292"/>
      <c r="J18" s="322">
        <f>編成!B29</f>
        <v>42533</v>
      </c>
    </row>
    <row r="19" spans="2:10" x14ac:dyDescent="0.25">
      <c r="B19" s="391"/>
      <c r="C19" s="392"/>
      <c r="D19" s="317"/>
      <c r="E19" s="319"/>
      <c r="F19" s="388" t="str">
        <f>IF(E19="","",COUNTIF(E$5:E19,E19))</f>
        <v/>
      </c>
      <c r="G19" s="317"/>
      <c r="H19" s="292"/>
      <c r="J19" s="322">
        <f>編成!B30</f>
        <v>42546</v>
      </c>
    </row>
    <row r="20" spans="2:10" x14ac:dyDescent="0.25">
      <c r="B20" s="391"/>
      <c r="C20" s="392"/>
      <c r="D20" s="317"/>
      <c r="E20" s="319"/>
      <c r="F20" s="388" t="str">
        <f>IF(E20="","",COUNTIF(E$5:E20,E20))</f>
        <v/>
      </c>
      <c r="G20" s="317"/>
      <c r="H20" s="292"/>
      <c r="J20" s="322">
        <f>編成!B31</f>
        <v>42547</v>
      </c>
    </row>
    <row r="21" spans="2:10" x14ac:dyDescent="0.25">
      <c r="B21" s="391"/>
      <c r="C21" s="392"/>
      <c r="D21" s="317"/>
      <c r="E21" s="319"/>
      <c r="F21" s="388" t="str">
        <f>IF(E21="","",COUNTIF(E$5:E21,E21))</f>
        <v/>
      </c>
      <c r="G21" s="317"/>
      <c r="H21" s="292"/>
      <c r="J21" s="322">
        <f>編成!B32</f>
        <v>42553</v>
      </c>
    </row>
    <row r="22" spans="2:10" x14ac:dyDescent="0.25">
      <c r="B22" s="391"/>
      <c r="C22" s="392"/>
      <c r="D22" s="317"/>
      <c r="E22" s="319"/>
      <c r="F22" s="388" t="str">
        <f>IF(E22="","",COUNTIF(E$5:E22,E22))</f>
        <v/>
      </c>
      <c r="G22" s="317"/>
      <c r="H22" s="292"/>
      <c r="J22" s="322">
        <f>編成!B33</f>
        <v>42554</v>
      </c>
    </row>
    <row r="23" spans="2:10" x14ac:dyDescent="0.25">
      <c r="B23" s="391"/>
      <c r="C23" s="392"/>
      <c r="D23" s="317"/>
      <c r="E23" s="319"/>
      <c r="F23" s="388" t="str">
        <f>IF(E23="","",COUNTIF(E$5:E23,E23))</f>
        <v/>
      </c>
      <c r="G23" s="317"/>
      <c r="H23" s="292"/>
      <c r="J23" s="322">
        <f>編成!B34</f>
        <v>42560</v>
      </c>
    </row>
    <row r="24" spans="2:10" x14ac:dyDescent="0.25">
      <c r="B24" s="391"/>
      <c r="C24" s="392"/>
      <c r="D24" s="317"/>
      <c r="E24" s="387"/>
      <c r="F24" s="388" t="str">
        <f>IF(E24="","",COUNTIF(E$5:E24,E24))</f>
        <v/>
      </c>
      <c r="G24" s="317"/>
      <c r="H24" s="292"/>
      <c r="J24" s="322">
        <f>編成!B35</f>
        <v>42561</v>
      </c>
    </row>
    <row r="25" spans="2:10" x14ac:dyDescent="0.25">
      <c r="B25" s="391"/>
      <c r="C25" s="392"/>
      <c r="D25" s="317"/>
      <c r="E25" s="319"/>
      <c r="F25" s="388" t="str">
        <f>IF(E25="","",COUNTIF(E$5:E25,E25))</f>
        <v/>
      </c>
      <c r="G25" s="317"/>
      <c r="H25" s="292"/>
      <c r="J25" s="322">
        <f>編成!B36</f>
        <v>42574</v>
      </c>
    </row>
    <row r="26" spans="2:10" x14ac:dyDescent="0.25">
      <c r="B26" s="391"/>
      <c r="C26" s="392"/>
      <c r="D26" s="317"/>
      <c r="E26" s="319"/>
      <c r="F26" s="388" t="str">
        <f>IF(E26="","",COUNTIF(E$5:E26,E26))</f>
        <v/>
      </c>
      <c r="G26" s="317"/>
      <c r="H26" s="292"/>
      <c r="J26" s="322">
        <f>編成!B37</f>
        <v>42575</v>
      </c>
    </row>
    <row r="27" spans="2:10" x14ac:dyDescent="0.25">
      <c r="B27" s="391"/>
      <c r="C27" s="392"/>
      <c r="D27" s="317"/>
      <c r="E27" s="292"/>
      <c r="F27" s="388" t="str">
        <f>IF(E27="","",COUNTIF(E$5:E27,E27))</f>
        <v/>
      </c>
      <c r="G27" s="317"/>
      <c r="H27" s="292"/>
      <c r="J27" s="322">
        <f>編成!B38</f>
        <v>42581</v>
      </c>
    </row>
    <row r="28" spans="2:10" x14ac:dyDescent="0.25">
      <c r="B28" s="391"/>
      <c r="C28" s="392"/>
      <c r="D28" s="317"/>
      <c r="E28" s="292"/>
      <c r="F28" s="388" t="str">
        <f>IF(E28="","",COUNTIF(E$5:E28,E28))</f>
        <v/>
      </c>
      <c r="G28" s="317"/>
      <c r="H28" s="292"/>
      <c r="J28" s="322">
        <f>編成!B39</f>
        <v>42582</v>
      </c>
    </row>
    <row r="29" spans="2:10" x14ac:dyDescent="0.25">
      <c r="B29" s="391"/>
      <c r="C29" s="392"/>
      <c r="D29" s="317"/>
      <c r="E29" s="292"/>
      <c r="F29" s="388" t="str">
        <f>IF(E29="","",COUNTIF(E$5:E29,E29))</f>
        <v/>
      </c>
      <c r="G29" s="319"/>
      <c r="H29" s="292"/>
      <c r="J29" s="322">
        <f>編成!B40</f>
        <v>42588</v>
      </c>
    </row>
    <row r="30" spans="2:10" x14ac:dyDescent="0.25">
      <c r="B30" s="391"/>
      <c r="C30" s="392"/>
      <c r="D30" s="317"/>
      <c r="E30" s="292"/>
      <c r="F30" s="388" t="str">
        <f>IF(E30="","",COUNTIF(E$5:E30,E30))</f>
        <v/>
      </c>
      <c r="G30" s="319"/>
      <c r="H30" s="292"/>
      <c r="J30" s="322">
        <f>編成!B41</f>
        <v>42589</v>
      </c>
    </row>
    <row r="31" spans="2:10" x14ac:dyDescent="0.25">
      <c r="B31" s="391"/>
      <c r="C31" s="392"/>
      <c r="D31" s="317"/>
      <c r="E31" s="292"/>
      <c r="F31" s="388" t="str">
        <f>IF(E31="","",COUNTIF(E$5:E31,E31))</f>
        <v/>
      </c>
      <c r="G31" s="319"/>
      <c r="H31" s="292"/>
      <c r="J31" s="322">
        <f>編成!B42</f>
        <v>42616</v>
      </c>
    </row>
    <row r="32" spans="2:10" x14ac:dyDescent="0.25">
      <c r="B32" s="391"/>
      <c r="C32" s="392"/>
      <c r="D32" s="317"/>
      <c r="E32" s="292"/>
      <c r="F32" s="388" t="str">
        <f>IF(E32="","",COUNTIF(E$5:E32,E32))</f>
        <v/>
      </c>
      <c r="G32" s="319"/>
      <c r="H32" s="292"/>
      <c r="J32" s="322">
        <f>編成!B43</f>
        <v>42617</v>
      </c>
    </row>
    <row r="33" spans="2:10" x14ac:dyDescent="0.25">
      <c r="B33" s="391"/>
      <c r="C33" s="392"/>
      <c r="D33" s="317"/>
      <c r="E33" s="292"/>
      <c r="F33" s="388" t="str">
        <f>IF(E33="","",COUNTIF(E$5:E33,E33))</f>
        <v/>
      </c>
      <c r="G33" s="319"/>
      <c r="H33" s="292"/>
      <c r="J33" s="322">
        <f>編成!B44</f>
        <v>42623</v>
      </c>
    </row>
    <row r="34" spans="2:10" x14ac:dyDescent="0.25">
      <c r="B34" s="391"/>
      <c r="C34" s="392"/>
      <c r="D34" s="317"/>
      <c r="E34" s="292"/>
      <c r="F34" s="388" t="str">
        <f>IF(E34="","",COUNTIF(E$5:E34,E34))</f>
        <v/>
      </c>
      <c r="G34" s="319"/>
      <c r="H34" s="292"/>
      <c r="J34" s="322">
        <f>編成!B45</f>
        <v>42624</v>
      </c>
    </row>
    <row r="35" spans="2:10" x14ac:dyDescent="0.25">
      <c r="B35" s="391"/>
      <c r="C35" s="392"/>
      <c r="D35" s="317"/>
      <c r="E35" s="292"/>
      <c r="F35" s="388" t="str">
        <f>IF(E35="","",COUNTIF(E$5:E35,E35))</f>
        <v/>
      </c>
      <c r="G35" s="319"/>
      <c r="H35" s="292"/>
      <c r="J35" s="322">
        <f>編成!B46</f>
        <v>42644</v>
      </c>
    </row>
    <row r="36" spans="2:10" x14ac:dyDescent="0.25">
      <c r="B36" s="391"/>
      <c r="C36" s="392"/>
      <c r="D36" s="317"/>
      <c r="E36" s="292"/>
      <c r="F36" s="388" t="str">
        <f>IF(E36="","",COUNTIF(E$5:E36,E36))</f>
        <v/>
      </c>
      <c r="G36" s="319"/>
      <c r="H36" s="292"/>
      <c r="J36" s="322">
        <f>編成!B47</f>
        <v>42645</v>
      </c>
    </row>
    <row r="37" spans="2:10" x14ac:dyDescent="0.25">
      <c r="B37" s="391"/>
      <c r="C37" s="392"/>
      <c r="D37" s="317"/>
      <c r="E37" s="292"/>
      <c r="F37" s="388" t="str">
        <f>IF(E37="","",COUNTIF(E$5:E37,E37))</f>
        <v/>
      </c>
      <c r="G37" s="319"/>
      <c r="H37" s="292"/>
      <c r="J37" s="322">
        <f>編成!B48</f>
        <v>42658</v>
      </c>
    </row>
    <row r="38" spans="2:10" x14ac:dyDescent="0.25">
      <c r="B38" s="391"/>
      <c r="C38" s="392"/>
      <c r="D38" s="317"/>
      <c r="E38" s="292"/>
      <c r="F38" s="388" t="str">
        <f>IF(E38="","",COUNTIF(E$5:E38,E38))</f>
        <v/>
      </c>
      <c r="G38" s="319"/>
      <c r="H38" s="292"/>
      <c r="J38" s="322">
        <f>編成!B49</f>
        <v>42659</v>
      </c>
    </row>
    <row r="39" spans="2:10" x14ac:dyDescent="0.25">
      <c r="B39" s="391"/>
      <c r="C39" s="392"/>
      <c r="D39" s="318"/>
      <c r="E39" s="293"/>
      <c r="F39" s="388" t="str">
        <f>IF(E39="","",COUNTIF(E$5:E39,E39))</f>
        <v/>
      </c>
      <c r="G39" s="320"/>
      <c r="H39" s="293"/>
      <c r="J39" s="322">
        <f>編成!B50</f>
        <v>42665</v>
      </c>
    </row>
    <row r="40" spans="2:10" x14ac:dyDescent="0.25">
      <c r="J40" s="322">
        <f>編成!B51</f>
        <v>42666</v>
      </c>
    </row>
    <row r="41" spans="2:10" x14ac:dyDescent="0.25">
      <c r="J41" s="322">
        <f>編成!B52</f>
        <v>42672</v>
      </c>
    </row>
    <row r="42" spans="2:10" x14ac:dyDescent="0.25">
      <c r="J42" s="322">
        <f>編成!B53</f>
        <v>42673</v>
      </c>
    </row>
    <row r="43" spans="2:10" x14ac:dyDescent="0.25">
      <c r="J43" s="322">
        <f>編成!B54</f>
        <v>42677</v>
      </c>
    </row>
    <row r="44" spans="2:10" x14ac:dyDescent="0.25">
      <c r="J44" s="322">
        <f>編成!B55</f>
        <v>42569</v>
      </c>
    </row>
    <row r="45" spans="2:10" x14ac:dyDescent="0.25">
      <c r="J45" s="322">
        <f>編成!B56</f>
        <v>42493</v>
      </c>
    </row>
    <row r="46" spans="2:10" x14ac:dyDescent="0.25">
      <c r="J46" s="322">
        <f>編成!B57</f>
        <v>0</v>
      </c>
    </row>
    <row r="47" spans="2:10" x14ac:dyDescent="0.25">
      <c r="J47" s="322">
        <f>編成!B58</f>
        <v>0</v>
      </c>
    </row>
    <row r="48" spans="2:10" x14ac:dyDescent="0.25">
      <c r="J48" s="322">
        <f>編成!B59</f>
        <v>0</v>
      </c>
    </row>
    <row r="49" spans="10:10" x14ac:dyDescent="0.25">
      <c r="J49" s="322">
        <f>編成!B60</f>
        <v>0</v>
      </c>
    </row>
    <row r="50" spans="10:10" x14ac:dyDescent="0.25">
      <c r="J50" s="322">
        <f>編成!B61</f>
        <v>0</v>
      </c>
    </row>
    <row r="51" spans="10:10" x14ac:dyDescent="0.25">
      <c r="J51" s="322">
        <f>編成!B62</f>
        <v>0</v>
      </c>
    </row>
    <row r="52" spans="10:10" x14ac:dyDescent="0.25">
      <c r="J52" s="322">
        <f>編成!B63</f>
        <v>0</v>
      </c>
    </row>
    <row r="53" spans="10:10" x14ac:dyDescent="0.25">
      <c r="J53" s="322">
        <f>編成!B64</f>
        <v>0</v>
      </c>
    </row>
    <row r="54" spans="10:10" x14ac:dyDescent="0.25">
      <c r="J54" s="322">
        <f>編成!B65</f>
        <v>0</v>
      </c>
    </row>
    <row r="55" spans="10:10" x14ac:dyDescent="0.25">
      <c r="J55" s="322">
        <f>編成!B66</f>
        <v>0</v>
      </c>
    </row>
    <row r="56" spans="10:10" x14ac:dyDescent="0.25">
      <c r="J56" s="322">
        <f>編成!B67</f>
        <v>0</v>
      </c>
    </row>
  </sheetData>
  <phoneticPr fontId="2"/>
  <dataValidations count="2">
    <dataValidation type="list" allowBlank="1" showInputMessage="1" showErrorMessage="1" sqref="C5:C39" xr:uid="{00000000-0002-0000-0600-000000000000}">
      <formula1>$K$4:$K$12</formula1>
    </dataValidation>
    <dataValidation type="list" allowBlank="1" showInputMessage="1" showErrorMessage="1" sqref="B5:B39" xr:uid="{00000000-0002-0000-0600-000001000000}">
      <formula1>$J$4:$J$56</formula1>
    </dataValidation>
  </dataValidations>
  <pageMargins left="0.75" right="0.75" top="1" bottom="1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F17"/>
  <sheetViews>
    <sheetView showGridLines="0" workbookViewId="0"/>
  </sheetViews>
  <sheetFormatPr defaultRowHeight="12.75" x14ac:dyDescent="0.25"/>
  <cols>
    <col min="1" max="1" width="1" customWidth="1"/>
    <col min="2" max="2" width="56.3984375" customWidth="1"/>
    <col min="3" max="3" width="1.3984375" customWidth="1"/>
    <col min="4" max="4" width="4.86328125" customWidth="1"/>
    <col min="5" max="6" width="14" customWidth="1"/>
  </cols>
  <sheetData>
    <row r="1" spans="2:6" x14ac:dyDescent="0.25">
      <c r="B1" s="360" t="s">
        <v>260</v>
      </c>
      <c r="C1" s="360"/>
      <c r="D1" s="366"/>
      <c r="E1" s="366"/>
      <c r="F1" s="366"/>
    </row>
    <row r="2" spans="2:6" x14ac:dyDescent="0.25">
      <c r="B2" s="360" t="s">
        <v>261</v>
      </c>
      <c r="C2" s="360"/>
      <c r="D2" s="366"/>
      <c r="E2" s="366"/>
      <c r="F2" s="366"/>
    </row>
    <row r="3" spans="2:6" x14ac:dyDescent="0.25">
      <c r="B3" s="361"/>
      <c r="C3" s="361"/>
      <c r="D3" s="367"/>
      <c r="E3" s="367"/>
      <c r="F3" s="367"/>
    </row>
    <row r="4" spans="2:6" ht="51" x14ac:dyDescent="0.25">
      <c r="B4" s="361" t="s">
        <v>262</v>
      </c>
      <c r="C4" s="361"/>
      <c r="D4" s="367"/>
      <c r="E4" s="367"/>
      <c r="F4" s="367"/>
    </row>
    <row r="5" spans="2:6" x14ac:dyDescent="0.25">
      <c r="B5" s="361"/>
      <c r="C5" s="361"/>
      <c r="D5" s="367"/>
      <c r="E5" s="367"/>
      <c r="F5" s="367"/>
    </row>
    <row r="6" spans="2:6" x14ac:dyDescent="0.25">
      <c r="B6" s="360" t="s">
        <v>263</v>
      </c>
      <c r="C6" s="360"/>
      <c r="D6" s="366"/>
      <c r="E6" s="366" t="s">
        <v>264</v>
      </c>
      <c r="F6" s="366" t="s">
        <v>265</v>
      </c>
    </row>
    <row r="7" spans="2:6" ht="13.15" thickBot="1" x14ac:dyDescent="0.3">
      <c r="B7" s="361"/>
      <c r="C7" s="361"/>
      <c r="D7" s="367"/>
      <c r="E7" s="367"/>
      <c r="F7" s="367"/>
    </row>
    <row r="8" spans="2:6" ht="38.25" x14ac:dyDescent="0.25">
      <c r="B8" s="362" t="s">
        <v>266</v>
      </c>
      <c r="C8" s="363"/>
      <c r="D8" s="368"/>
      <c r="E8" s="368">
        <v>10</v>
      </c>
      <c r="F8" s="369"/>
    </row>
    <row r="9" spans="2:6" x14ac:dyDescent="0.25">
      <c r="B9" s="373"/>
      <c r="C9" s="361"/>
      <c r="D9" s="367"/>
      <c r="E9" s="374" t="s">
        <v>267</v>
      </c>
      <c r="F9" s="375" t="s">
        <v>268</v>
      </c>
    </row>
    <row r="10" spans="2:6" x14ac:dyDescent="0.25">
      <c r="B10" s="373"/>
      <c r="C10" s="361"/>
      <c r="D10" s="367"/>
      <c r="E10" s="374" t="s">
        <v>269</v>
      </c>
      <c r="F10" s="375"/>
    </row>
    <row r="11" spans="2:6" x14ac:dyDescent="0.25">
      <c r="B11" s="373"/>
      <c r="C11" s="361"/>
      <c r="D11" s="367"/>
      <c r="E11" s="374" t="s">
        <v>270</v>
      </c>
      <c r="F11" s="375"/>
    </row>
    <row r="12" spans="2:6" x14ac:dyDescent="0.25">
      <c r="B12" s="373"/>
      <c r="C12" s="361"/>
      <c r="D12" s="367"/>
      <c r="E12" s="374" t="s">
        <v>271</v>
      </c>
      <c r="F12" s="375"/>
    </row>
    <row r="13" spans="2:6" x14ac:dyDescent="0.25">
      <c r="B13" s="373"/>
      <c r="C13" s="361"/>
      <c r="D13" s="367"/>
      <c r="E13" s="374" t="s">
        <v>272</v>
      </c>
      <c r="F13" s="375"/>
    </row>
    <row r="14" spans="2:6" x14ac:dyDescent="0.25">
      <c r="B14" s="373"/>
      <c r="C14" s="361"/>
      <c r="D14" s="367"/>
      <c r="E14" s="374" t="s">
        <v>273</v>
      </c>
      <c r="F14" s="375"/>
    </row>
    <row r="15" spans="2:6" ht="13.15" thickBot="1" x14ac:dyDescent="0.3">
      <c r="B15" s="364"/>
      <c r="C15" s="365"/>
      <c r="D15" s="370"/>
      <c r="E15" s="371" t="s">
        <v>274</v>
      </c>
      <c r="F15" s="372" t="s">
        <v>268</v>
      </c>
    </row>
    <row r="16" spans="2:6" x14ac:dyDescent="0.25">
      <c r="B16" s="361"/>
      <c r="C16" s="361"/>
      <c r="D16" s="367"/>
      <c r="E16" s="367"/>
      <c r="F16" s="367"/>
    </row>
    <row r="17" spans="2:6" x14ac:dyDescent="0.25">
      <c r="B17" s="361"/>
      <c r="C17" s="361"/>
      <c r="D17" s="367"/>
      <c r="E17" s="367"/>
      <c r="F17" s="367"/>
    </row>
  </sheetData>
  <phoneticPr fontId="2"/>
  <hyperlinks>
    <hyperlink ref="E9" location="'編成'!T16:U71" display="'編成'!T16:U71" xr:uid="{00000000-0004-0000-0700-000000000000}"/>
    <hyperlink ref="E10" location="'編成'!N1" display="'編成'!N1" xr:uid="{00000000-0004-0000-0700-000001000000}"/>
    <hyperlink ref="E11" location="'編成'!N16:O71" display="'編成'!N16:O71" xr:uid="{00000000-0004-0000-0700-000002000000}"/>
    <hyperlink ref="E12" location="'編成'!Q16:R71" display="'編成'!Q16:R71" xr:uid="{00000000-0004-0000-0700-000003000000}"/>
    <hyperlink ref="E13" location="'編成'!F2:G2" display="'編成'!F2:G2" xr:uid="{00000000-0004-0000-0700-000004000000}"/>
    <hyperlink ref="E14" location="'編成'!AD16:AE71" display="'編成'!AD16:AE71" xr:uid="{00000000-0004-0000-0700-000005000000}"/>
    <hyperlink ref="E15" location="'累積警告'!B4:C38" display="'累積警告'!B4:C38" xr:uid="{00000000-0004-0000-0700-000006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編成</vt:lpstr>
      <vt:lpstr>記入</vt:lpstr>
      <vt:lpstr>結果</vt:lpstr>
      <vt:lpstr>ソート</vt:lpstr>
      <vt:lpstr>簡略版</vt:lpstr>
      <vt:lpstr>星取表</vt:lpstr>
      <vt:lpstr>累積警告</vt:lpstr>
      <vt:lpstr>互換性レポート (1)</vt:lpstr>
      <vt:lpstr>ソート!Print_Area</vt:lpstr>
      <vt:lpstr>簡略版!Print_Area</vt:lpstr>
      <vt:lpstr>記入!Print_Area</vt:lpstr>
      <vt:lpstr>結果!Print_Area</vt:lpstr>
      <vt:lpstr>星取表!Print_Area</vt:lpstr>
      <vt:lpstr>累積警告!Print_Area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中宮　章</dc:creator>
  <cp:keywords/>
  <dc:description/>
  <cp:lastModifiedBy>拓斗 清水</cp:lastModifiedBy>
  <cp:revision/>
  <dcterms:created xsi:type="dcterms:W3CDTF">2007-10-23T02:48:55Z</dcterms:created>
  <dcterms:modified xsi:type="dcterms:W3CDTF">2024-05-12T06:57:19Z</dcterms:modified>
  <cp:category/>
  <cp:contentStatus/>
</cp:coreProperties>
</file>